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96454BC-F841-4B4B-9904-95A45721C7DD}" xr6:coauthVersionLast="36" xr6:coauthVersionMax="36" xr10:uidLastSave="{00000000-0000-0000-0000-000000000000}"/>
  <bookViews>
    <workbookView xWindow="0" yWindow="0" windowWidth="28800" windowHeight="11625"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O30" i="10" l="1"/>
  <c r="O24" i="10"/>
  <c r="B106" i="12"/>
  <c r="B85" i="12"/>
  <c r="B88" i="12" s="1"/>
  <c r="B81" i="12"/>
  <c r="B80" i="12"/>
  <c r="B58" i="12"/>
  <c r="B41" i="12"/>
  <c r="B36" i="12"/>
  <c r="B92" i="12" s="1"/>
  <c r="B35" i="12"/>
  <c r="B33" i="12"/>
  <c r="B32" i="12"/>
  <c r="B30" i="12"/>
  <c r="B22" i="12"/>
  <c r="B21" i="12"/>
  <c r="A15" i="12"/>
  <c r="A12" i="12"/>
  <c r="A9" i="12"/>
  <c r="A5" i="12"/>
  <c r="AD33" i="11"/>
  <c r="AE33" i="11" s="1"/>
  <c r="AD30" i="11"/>
  <c r="AD37" i="11" s="1"/>
  <c r="B29" i="12" s="1"/>
  <c r="I29" i="11"/>
  <c r="I30" i="11" s="1"/>
  <c r="I33" i="11" s="1"/>
  <c r="AT26" i="11"/>
  <c r="I26" i="11"/>
  <c r="D26" i="11"/>
  <c r="D29" i="11" s="1"/>
  <c r="D30" i="11" s="1"/>
  <c r="D33" i="11" s="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F64" i="10"/>
  <c r="E64" i="10"/>
  <c r="AC63" i="10"/>
  <c r="AB63" i="10"/>
  <c r="E63" i="10"/>
  <c r="F63" i="10" s="1"/>
  <c r="AC62" i="10"/>
  <c r="AB62" i="10"/>
  <c r="E62" i="10"/>
  <c r="F62" i="10" s="1"/>
  <c r="AC61" i="10"/>
  <c r="AB61" i="10"/>
  <c r="E61" i="10"/>
  <c r="F61" i="10" s="1"/>
  <c r="AC60" i="10"/>
  <c r="AB60" i="10"/>
  <c r="E60" i="10"/>
  <c r="F60" i="10" s="1"/>
  <c r="AC59" i="10"/>
  <c r="AB59" i="10"/>
  <c r="E59" i="10"/>
  <c r="F59" i="10" s="1"/>
  <c r="AC58" i="10"/>
  <c r="AB58" i="10"/>
  <c r="F58" i="10"/>
  <c r="E58" i="10"/>
  <c r="AC57" i="10"/>
  <c r="AB57" i="10"/>
  <c r="F57" i="10"/>
  <c r="E57" i="10"/>
  <c r="AB56" i="10"/>
  <c r="E56" i="10"/>
  <c r="F56" i="10" s="1"/>
  <c r="AC55" i="10"/>
  <c r="AB55" i="10"/>
  <c r="E55" i="10"/>
  <c r="F55" i="10" s="1"/>
  <c r="AC54" i="10"/>
  <c r="AB54" i="10"/>
  <c r="E54" i="10"/>
  <c r="F54" i="10" s="1"/>
  <c r="AC53" i="10"/>
  <c r="AB53" i="10"/>
  <c r="E53" i="10"/>
  <c r="F53" i="10" s="1"/>
  <c r="AC52" i="10"/>
  <c r="AB52" i="10"/>
  <c r="AC51" i="10"/>
  <c r="AB51" i="10"/>
  <c r="E51" i="10"/>
  <c r="F51" i="10" s="1"/>
  <c r="AC50" i="10"/>
  <c r="AB50" i="10"/>
  <c r="E50" i="10"/>
  <c r="F50" i="10" s="1"/>
  <c r="AB49" i="10"/>
  <c r="N49" i="10"/>
  <c r="AC49" i="10" s="1"/>
  <c r="F49" i="10"/>
  <c r="E49" i="10"/>
  <c r="AB48" i="10"/>
  <c r="N48" i="10"/>
  <c r="N56" i="10" s="1"/>
  <c r="E48" i="10"/>
  <c r="F48" i="10" s="1"/>
  <c r="AB47" i="10"/>
  <c r="N47" i="10"/>
  <c r="AC47" i="10" s="1"/>
  <c r="F47" i="10"/>
  <c r="E47" i="10"/>
  <c r="AC46" i="10"/>
  <c r="AB46" i="10"/>
  <c r="E46" i="10"/>
  <c r="F46" i="10" s="1"/>
  <c r="AC45" i="10"/>
  <c r="AB45" i="10"/>
  <c r="F45" i="10"/>
  <c r="E45" i="10"/>
  <c r="AC44" i="10"/>
  <c r="AB44" i="10"/>
  <c r="E44" i="10"/>
  <c r="F44" i="10" s="1"/>
  <c r="AC43" i="10"/>
  <c r="AB43" i="10"/>
  <c r="E43" i="10"/>
  <c r="F43" i="10" s="1"/>
  <c r="AC42" i="10"/>
  <c r="AB42" i="10"/>
  <c r="E42" i="10"/>
  <c r="F42" i="10" s="1"/>
  <c r="AC41" i="10"/>
  <c r="AB41" i="10"/>
  <c r="E41" i="10"/>
  <c r="F41" i="10" s="1"/>
  <c r="AC40" i="10"/>
  <c r="AB40" i="10"/>
  <c r="E40" i="10"/>
  <c r="F40" i="10" s="1"/>
  <c r="AC39" i="10"/>
  <c r="AB39" i="10"/>
  <c r="E39" i="10"/>
  <c r="F39" i="10" s="1"/>
  <c r="AC38" i="10"/>
  <c r="AB38" i="10"/>
  <c r="E38" i="10"/>
  <c r="F38" i="10" s="1"/>
  <c r="AC37" i="10"/>
  <c r="AB37" i="10"/>
  <c r="E37" i="10"/>
  <c r="F37" i="10" s="1"/>
  <c r="AC36" i="10"/>
  <c r="AB36" i="10"/>
  <c r="E36" i="10"/>
  <c r="F36" i="10" s="1"/>
  <c r="AC35" i="10"/>
  <c r="AB35" i="10"/>
  <c r="F35" i="10"/>
  <c r="E35" i="10"/>
  <c r="AC34" i="10"/>
  <c r="AB34" i="10"/>
  <c r="E34" i="10"/>
  <c r="F34" i="10" s="1"/>
  <c r="AC33" i="10"/>
  <c r="AB33" i="10"/>
  <c r="E33" i="10"/>
  <c r="F33" i="10" s="1"/>
  <c r="AC32" i="10"/>
  <c r="AB32" i="10"/>
  <c r="E32" i="10"/>
  <c r="F32" i="10" s="1"/>
  <c r="AC31" i="10"/>
  <c r="AB31" i="10"/>
  <c r="E31" i="10"/>
  <c r="F31" i="10" s="1"/>
  <c r="F30" i="10" s="1"/>
  <c r="AA30" i="10"/>
  <c r="Z30" i="10"/>
  <c r="Y30" i="10"/>
  <c r="X30" i="10"/>
  <c r="W30" i="10"/>
  <c r="V30" i="10"/>
  <c r="U30" i="10"/>
  <c r="T30" i="10"/>
  <c r="S30" i="10"/>
  <c r="R30" i="10"/>
  <c r="Q30" i="10"/>
  <c r="P30" i="10"/>
  <c r="N30" i="10"/>
  <c r="M30" i="10"/>
  <c r="L30" i="10"/>
  <c r="K30" i="10"/>
  <c r="J30" i="10"/>
  <c r="AC30" i="10" s="1"/>
  <c r="C49" i="1" s="1"/>
  <c r="I30" i="10"/>
  <c r="H30" i="10"/>
  <c r="AB30" i="10" s="1"/>
  <c r="G30" i="10"/>
  <c r="E30" i="10"/>
  <c r="D30" i="10"/>
  <c r="C92" i="12" s="1"/>
  <c r="C30" i="10"/>
  <c r="C52" i="10" s="1"/>
  <c r="E52" i="10" s="1"/>
  <c r="F52" i="10" s="1"/>
  <c r="AC29" i="10"/>
  <c r="AB29" i="10"/>
  <c r="E29" i="10"/>
  <c r="F29" i="10" s="1"/>
  <c r="AC28" i="10"/>
  <c r="AB28" i="10"/>
  <c r="E28" i="10"/>
  <c r="F28" i="10" s="1"/>
  <c r="AC27" i="10"/>
  <c r="AB27" i="10"/>
  <c r="E27" i="10"/>
  <c r="F27" i="10" s="1"/>
  <c r="AC26" i="10"/>
  <c r="AB26" i="10"/>
  <c r="E26" i="10"/>
  <c r="E24" i="10" s="1"/>
  <c r="AC25" i="10"/>
  <c r="AB25" i="10"/>
  <c r="E25" i="10"/>
  <c r="F25" i="10" s="1"/>
  <c r="AA24" i="10"/>
  <c r="Z24" i="10"/>
  <c r="Y24" i="10"/>
  <c r="X24" i="10"/>
  <c r="W24" i="10"/>
  <c r="V24" i="10"/>
  <c r="U24" i="10"/>
  <c r="T24" i="10"/>
  <c r="S24" i="10"/>
  <c r="R24" i="10"/>
  <c r="Q24" i="10"/>
  <c r="P24" i="10"/>
  <c r="N24" i="10"/>
  <c r="M24" i="10"/>
  <c r="L24" i="10"/>
  <c r="K24" i="10"/>
  <c r="J24" i="10"/>
  <c r="AC24" i="10" s="1"/>
  <c r="I24" i="10"/>
  <c r="H24" i="10"/>
  <c r="AB24" i="10" s="1"/>
  <c r="G24" i="10"/>
  <c r="D24" i="10"/>
  <c r="C24" i="10"/>
  <c r="A15" i="9"/>
  <c r="A14" i="10" s="1"/>
  <c r="A12" i="9"/>
  <c r="A11" i="10" s="1"/>
  <c r="A9" i="9"/>
  <c r="A8" i="10" s="1"/>
  <c r="A5" i="9"/>
  <c r="A4" i="10" s="1"/>
  <c r="B136" i="8"/>
  <c r="C135" i="8"/>
  <c r="C134" i="8"/>
  <c r="D134" i="8" s="1"/>
  <c r="E134" i="8" s="1"/>
  <c r="F134" i="8" s="1"/>
  <c r="G134" i="8" s="1"/>
  <c r="H134" i="8" s="1"/>
  <c r="I134" i="8" s="1"/>
  <c r="J134" i="8" s="1"/>
  <c r="K134" i="8" s="1"/>
  <c r="L134" i="8" s="1"/>
  <c r="M134" i="8" s="1"/>
  <c r="N134" i="8" s="1"/>
  <c r="O134" i="8" s="1"/>
  <c r="P134" i="8" s="1"/>
  <c r="Q134" i="8" s="1"/>
  <c r="R134" i="8" s="1"/>
  <c r="S134" i="8" s="1"/>
  <c r="T134" i="8" s="1"/>
  <c r="U134" i="8" s="1"/>
  <c r="V134" i="8" s="1"/>
  <c r="W134" i="8" s="1"/>
  <c r="X134" i="8" s="1"/>
  <c r="Y134" i="8" s="1"/>
  <c r="Z134" i="8" s="1"/>
  <c r="AA134" i="8" s="1"/>
  <c r="AB134" i="8" s="1"/>
  <c r="AC134" i="8" s="1"/>
  <c r="AD134" i="8" s="1"/>
  <c r="AE134" i="8" s="1"/>
  <c r="AF134" i="8" s="1"/>
  <c r="AG134" i="8" s="1"/>
  <c r="AH134" i="8" s="1"/>
  <c r="AI134" i="8" s="1"/>
  <c r="AJ134" i="8" s="1"/>
  <c r="AK134" i="8" s="1"/>
  <c r="AL134" i="8" s="1"/>
  <c r="AM134" i="8" s="1"/>
  <c r="AN134" i="8" s="1"/>
  <c r="AO134" i="8" s="1"/>
  <c r="B132" i="8"/>
  <c r="C132" i="8" s="1"/>
  <c r="K131" i="8"/>
  <c r="L131" i="8" s="1"/>
  <c r="C130" i="8"/>
  <c r="D130" i="8" s="1"/>
  <c r="E130" i="8" s="1"/>
  <c r="F130" i="8" s="1"/>
  <c r="G130" i="8" s="1"/>
  <c r="H130" i="8" s="1"/>
  <c r="I130" i="8" s="1"/>
  <c r="J130" i="8" s="1"/>
  <c r="K130" i="8" s="1"/>
  <c r="L130" i="8" s="1"/>
  <c r="M130" i="8" s="1"/>
  <c r="N130" i="8" s="1"/>
  <c r="O130" i="8" s="1"/>
  <c r="P130" i="8" s="1"/>
  <c r="Q130" i="8" s="1"/>
  <c r="R130" i="8" s="1"/>
  <c r="S130" i="8" s="1"/>
  <c r="T130" i="8" s="1"/>
  <c r="U130" i="8" s="1"/>
  <c r="V130" i="8" s="1"/>
  <c r="W130" i="8" s="1"/>
  <c r="X130" i="8" s="1"/>
  <c r="Y130" i="8" s="1"/>
  <c r="Z130" i="8" s="1"/>
  <c r="AA130" i="8" s="1"/>
  <c r="AB130" i="8" s="1"/>
  <c r="AC130" i="8" s="1"/>
  <c r="AD130" i="8" s="1"/>
  <c r="AE130" i="8" s="1"/>
  <c r="AF130" i="8" s="1"/>
  <c r="AG130" i="8" s="1"/>
  <c r="AH130" i="8" s="1"/>
  <c r="AI130" i="8" s="1"/>
  <c r="AJ130" i="8" s="1"/>
  <c r="AK130" i="8" s="1"/>
  <c r="AL130" i="8" s="1"/>
  <c r="AM130" i="8" s="1"/>
  <c r="AN130" i="8" s="1"/>
  <c r="AO130" i="8" s="1"/>
  <c r="G114" i="8"/>
  <c r="G113" i="8"/>
  <c r="G115" i="8" s="1"/>
  <c r="D113" i="8"/>
  <c r="B113" i="8"/>
  <c r="M106" i="8"/>
  <c r="N106" i="8" s="1"/>
  <c r="L101" i="8"/>
  <c r="K101" i="8"/>
  <c r="J101" i="8"/>
  <c r="I101" i="8"/>
  <c r="D100" i="8"/>
  <c r="E100" i="8" s="1"/>
  <c r="F100" i="8" s="1"/>
  <c r="G100" i="8" s="1"/>
  <c r="H100" i="8" s="1"/>
  <c r="I100" i="8" s="1"/>
  <c r="J100" i="8" s="1"/>
  <c r="K100" i="8" s="1"/>
  <c r="L100" i="8" s="1"/>
  <c r="M100" i="8" s="1"/>
  <c r="N100" i="8" s="1"/>
  <c r="O100" i="8" s="1"/>
  <c r="P100" i="8" s="1"/>
  <c r="Q100" i="8" s="1"/>
  <c r="R100" i="8" s="1"/>
  <c r="S100" i="8" s="1"/>
  <c r="T100" i="8" s="1"/>
  <c r="U100" i="8" s="1"/>
  <c r="V100" i="8" s="1"/>
  <c r="W100" i="8" s="1"/>
  <c r="X100" i="8" s="1"/>
  <c r="Y100" i="8" s="1"/>
  <c r="Z100" i="8" s="1"/>
  <c r="AA100" i="8" s="1"/>
  <c r="AB100" i="8" s="1"/>
  <c r="AC100" i="8" s="1"/>
  <c r="AD100" i="8" s="1"/>
  <c r="AE100" i="8" s="1"/>
  <c r="AF100" i="8" s="1"/>
  <c r="AG100" i="8" s="1"/>
  <c r="AH100" i="8" s="1"/>
  <c r="AI100" i="8" s="1"/>
  <c r="AJ100" i="8" s="1"/>
  <c r="AK100" i="8" s="1"/>
  <c r="AL100" i="8" s="1"/>
  <c r="AM100" i="8" s="1"/>
  <c r="AN100" i="8" s="1"/>
  <c r="AO100" i="8" s="1"/>
  <c r="J92" i="8"/>
  <c r="K92" i="8" s="1"/>
  <c r="L92" i="8" s="1"/>
  <c r="M92" i="8" s="1"/>
  <c r="N92" i="8" s="1"/>
  <c r="O92" i="8" s="1"/>
  <c r="P92" i="8" s="1"/>
  <c r="Q92" i="8" s="1"/>
  <c r="R92" i="8" s="1"/>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C91" i="8"/>
  <c r="H81" i="8"/>
  <c r="G81" i="8"/>
  <c r="F81" i="8"/>
  <c r="H76" i="8"/>
  <c r="G76" i="8"/>
  <c r="F76" i="8"/>
  <c r="E76" i="8"/>
  <c r="D76" i="8"/>
  <c r="C76" i="8"/>
  <c r="B76" i="8"/>
  <c r="C74" i="8"/>
  <c r="B74" i="8"/>
  <c r="B73" i="8"/>
  <c r="B85" i="8" s="1"/>
  <c r="I67" i="8"/>
  <c r="J67" i="8" s="1"/>
  <c r="A62" i="8"/>
  <c r="AO60" i="8"/>
  <c r="AN60" i="8"/>
  <c r="AM60" i="8"/>
  <c r="AL60" i="8"/>
  <c r="AJ60" i="8"/>
  <c r="AI60" i="8"/>
  <c r="AH60" i="8"/>
  <c r="AG60" i="8"/>
  <c r="AF60" i="8"/>
  <c r="AD60" i="8"/>
  <c r="AC60" i="8"/>
  <c r="AB60" i="8"/>
  <c r="AA60" i="8"/>
  <c r="Z60" i="8"/>
  <c r="X60" i="8"/>
  <c r="W60" i="8"/>
  <c r="V60" i="8"/>
  <c r="U60" i="8"/>
  <c r="T60" i="8"/>
  <c r="R60" i="8"/>
  <c r="Q60" i="8"/>
  <c r="P60" i="8"/>
  <c r="O60" i="8"/>
  <c r="N60" i="8"/>
  <c r="L60" i="8"/>
  <c r="K60" i="8"/>
  <c r="J60" i="8"/>
  <c r="I60" i="8"/>
  <c r="H60" i="8"/>
  <c r="G60" i="8"/>
  <c r="F60" i="8"/>
  <c r="E60" i="8"/>
  <c r="D60" i="8"/>
  <c r="C60" i="8"/>
  <c r="B60" i="8"/>
  <c r="C58" i="8"/>
  <c r="C52" i="8" s="1"/>
  <c r="B54" i="8"/>
  <c r="B55" i="8" s="1"/>
  <c r="B52" i="8"/>
  <c r="B50" i="8"/>
  <c r="B59" i="8" s="1"/>
  <c r="B80" i="8" s="1"/>
  <c r="B49" i="8"/>
  <c r="K48" i="8"/>
  <c r="J48" i="8"/>
  <c r="I48" i="8"/>
  <c r="H48" i="8"/>
  <c r="G48" i="8"/>
  <c r="F48" i="8"/>
  <c r="E48" i="8"/>
  <c r="D48" i="8"/>
  <c r="C48" i="8"/>
  <c r="B48" i="8"/>
  <c r="B47" i="8"/>
  <c r="B45" i="8"/>
  <c r="B46" i="8" s="1"/>
  <c r="B25" i="8"/>
  <c r="B29" i="8" s="1"/>
  <c r="A15" i="8"/>
  <c r="A12" i="8"/>
  <c r="A9" i="8"/>
  <c r="A5" i="8"/>
  <c r="A15" i="7"/>
  <c r="A12" i="7"/>
  <c r="A9" i="7"/>
  <c r="A5" i="7"/>
  <c r="A14" i="6"/>
  <c r="A11" i="6"/>
  <c r="A8" i="6"/>
  <c r="A4" i="6"/>
  <c r="A15" i="5"/>
  <c r="A12" i="5"/>
  <c r="A9" i="5"/>
  <c r="A5" i="5"/>
  <c r="R27" i="4"/>
  <c r="S27" i="4" s="1"/>
  <c r="Q27" i="4"/>
  <c r="E15" i="4"/>
  <c r="E12" i="4"/>
  <c r="E9" i="4"/>
  <c r="A5" i="4"/>
  <c r="A16" i="3"/>
  <c r="A13" i="3"/>
  <c r="A10" i="3"/>
  <c r="A6" i="3"/>
  <c r="S23" i="2"/>
  <c r="J23" i="2"/>
  <c r="H23" i="2"/>
  <c r="A15" i="2"/>
  <c r="A14" i="2"/>
  <c r="A11" i="2"/>
  <c r="A8" i="2"/>
  <c r="A4" i="2"/>
  <c r="M101" i="8" l="1"/>
  <c r="AC56" i="10"/>
  <c r="AE24" i="10"/>
  <c r="B27" i="12" s="1"/>
  <c r="C48" i="1"/>
  <c r="B34" i="12"/>
  <c r="O106" i="8"/>
  <c r="N101" i="8"/>
  <c r="L48" i="8"/>
  <c r="M131" i="8"/>
  <c r="B56" i="8"/>
  <c r="B69" i="8" s="1"/>
  <c r="B77" i="8" s="1"/>
  <c r="B82" i="8"/>
  <c r="B75" i="12"/>
  <c r="D92" i="12"/>
  <c r="B91" i="12"/>
  <c r="K67" i="8"/>
  <c r="J76" i="8"/>
  <c r="D132" i="8"/>
  <c r="C49" i="8"/>
  <c r="B82" i="12"/>
  <c r="F26" i="10"/>
  <c r="F24" i="10" s="1"/>
  <c r="C90" i="12" s="1"/>
  <c r="AC48" i="10"/>
  <c r="D135" i="8"/>
  <c r="AE30" i="11"/>
  <c r="B66" i="8"/>
  <c r="B68" i="8" s="1"/>
  <c r="I76" i="8"/>
  <c r="C47" i="8"/>
  <c r="C53" i="8"/>
  <c r="I113" i="8"/>
  <c r="I115" i="8" s="1"/>
  <c r="C103" i="8" s="1"/>
  <c r="C136" i="8"/>
  <c r="C73" i="8" s="1"/>
  <c r="C85" i="8" s="1"/>
  <c r="D58" i="8"/>
  <c r="B87" i="12"/>
  <c r="B90" i="12" s="1"/>
  <c r="B89" i="12" s="1"/>
  <c r="D52" i="8" l="1"/>
  <c r="D47" i="8"/>
  <c r="E58" i="8"/>
  <c r="D74" i="8"/>
  <c r="K76" i="8"/>
  <c r="L67" i="8"/>
  <c r="B86" i="12"/>
  <c r="B79" i="12"/>
  <c r="B78" i="12"/>
  <c r="B72" i="12"/>
  <c r="B68" i="12"/>
  <c r="B64" i="12"/>
  <c r="B60" i="12"/>
  <c r="B55" i="12"/>
  <c r="B51" i="12"/>
  <c r="B47" i="12"/>
  <c r="B43" i="12"/>
  <c r="B38" i="12"/>
  <c r="E132" i="8"/>
  <c r="D49" i="8"/>
  <c r="C55" i="8"/>
  <c r="E135" i="8"/>
  <c r="E136" i="8" s="1"/>
  <c r="E73" i="8" s="1"/>
  <c r="E85" i="8" s="1"/>
  <c r="D136" i="8"/>
  <c r="D73" i="8" s="1"/>
  <c r="D85" i="8" s="1"/>
  <c r="D103" i="8"/>
  <c r="C101" i="8"/>
  <c r="C50" i="8" s="1"/>
  <c r="C59" i="8" s="1"/>
  <c r="B75" i="8"/>
  <c r="B70" i="8"/>
  <c r="B77" i="12"/>
  <c r="N131" i="8"/>
  <c r="M48" i="8"/>
  <c r="O101" i="8"/>
  <c r="P106" i="8"/>
  <c r="C80" i="8" l="1"/>
  <c r="C66" i="8"/>
  <c r="C68" i="8" s="1"/>
  <c r="Q106" i="8"/>
  <c r="P101" i="8"/>
  <c r="N48" i="8"/>
  <c r="O131" i="8"/>
  <c r="B71" i="8"/>
  <c r="B72" i="8"/>
  <c r="D101" i="8"/>
  <c r="D50" i="8" s="1"/>
  <c r="D59" i="8" s="1"/>
  <c r="E103" i="8"/>
  <c r="F135" i="8"/>
  <c r="F136" i="8" s="1"/>
  <c r="F73" i="8" s="1"/>
  <c r="F85" i="8" s="1"/>
  <c r="C56" i="8"/>
  <c r="C69" i="8" s="1"/>
  <c r="C77" i="8" s="1"/>
  <c r="C82" i="8"/>
  <c r="D53" i="8"/>
  <c r="E49" i="8"/>
  <c r="F132" i="8"/>
  <c r="L76" i="8"/>
  <c r="M67" i="8"/>
  <c r="E52" i="8"/>
  <c r="E74" i="8"/>
  <c r="F58" i="8"/>
  <c r="E47" i="8"/>
  <c r="N67" i="8" l="1"/>
  <c r="M76" i="8"/>
  <c r="D80" i="8"/>
  <c r="D66" i="8"/>
  <c r="D68" i="8" s="1"/>
  <c r="F103" i="8"/>
  <c r="E101" i="8"/>
  <c r="E50" i="8" s="1"/>
  <c r="E59" i="8" s="1"/>
  <c r="F49" i="8"/>
  <c r="G132" i="8"/>
  <c r="D55" i="8"/>
  <c r="C75" i="8"/>
  <c r="C70" i="8"/>
  <c r="F52" i="8"/>
  <c r="F74" i="8"/>
  <c r="F47" i="8"/>
  <c r="G58" i="8"/>
  <c r="G135" i="8"/>
  <c r="G136" i="8"/>
  <c r="G73" i="8" s="1"/>
  <c r="G85" i="8" s="1"/>
  <c r="B78" i="8"/>
  <c r="B83" i="8" s="1"/>
  <c r="P131" i="8"/>
  <c r="O48" i="8"/>
  <c r="Q101" i="8"/>
  <c r="R106" i="8"/>
  <c r="S106" i="8" l="1"/>
  <c r="R101" i="8"/>
  <c r="P48" i="8"/>
  <c r="Q131" i="8"/>
  <c r="H58" i="8"/>
  <c r="G47" i="8"/>
  <c r="G52" i="8"/>
  <c r="G74" i="8"/>
  <c r="C71" i="8"/>
  <c r="E66" i="8"/>
  <c r="E68" i="8" s="1"/>
  <c r="E80" i="8"/>
  <c r="H135" i="8"/>
  <c r="H132" i="8"/>
  <c r="G49" i="8"/>
  <c r="F101" i="8"/>
  <c r="F50" i="8" s="1"/>
  <c r="F59" i="8" s="1"/>
  <c r="G103" i="8"/>
  <c r="B86" i="8"/>
  <c r="B88" i="8"/>
  <c r="B84" i="8"/>
  <c r="B89" i="8" s="1"/>
  <c r="D56" i="8"/>
  <c r="D69" i="8" s="1"/>
  <c r="D77" i="8" s="1"/>
  <c r="D82" i="8"/>
  <c r="E53" i="8"/>
  <c r="D75" i="8"/>
  <c r="D70" i="8"/>
  <c r="N76" i="8"/>
  <c r="O67" i="8"/>
  <c r="E55" i="8" l="1"/>
  <c r="E75" i="8"/>
  <c r="F80" i="8"/>
  <c r="F66" i="8"/>
  <c r="F68" i="8" s="1"/>
  <c r="C78" i="8"/>
  <c r="C83" i="8" s="1"/>
  <c r="P67" i="8"/>
  <c r="O76" i="8"/>
  <c r="H103" i="8"/>
  <c r="I103" i="8" s="1"/>
  <c r="J103" i="8" s="1"/>
  <c r="K103" i="8" s="1"/>
  <c r="L103" i="8" s="1"/>
  <c r="M103" i="8" s="1"/>
  <c r="N103" i="8" s="1"/>
  <c r="O103" i="8" s="1"/>
  <c r="P103" i="8" s="1"/>
  <c r="Q103" i="8" s="1"/>
  <c r="R103" i="8" s="1"/>
  <c r="S103" i="8" s="1"/>
  <c r="T103" i="8" s="1"/>
  <c r="U103" i="8" s="1"/>
  <c r="V103" i="8" s="1"/>
  <c r="W103" i="8" s="1"/>
  <c r="X103" i="8" s="1"/>
  <c r="Y103" i="8" s="1"/>
  <c r="Z103" i="8" s="1"/>
  <c r="AA103" i="8" s="1"/>
  <c r="AB103" i="8" s="1"/>
  <c r="AC103" i="8" s="1"/>
  <c r="AD103" i="8" s="1"/>
  <c r="AE103" i="8" s="1"/>
  <c r="AF103" i="8" s="1"/>
  <c r="AG103" i="8" s="1"/>
  <c r="AH103" i="8" s="1"/>
  <c r="AI103" i="8" s="1"/>
  <c r="AJ103" i="8" s="1"/>
  <c r="AK103" i="8" s="1"/>
  <c r="AL103" i="8" s="1"/>
  <c r="AM103" i="8" s="1"/>
  <c r="AN103" i="8" s="1"/>
  <c r="AO103" i="8" s="1"/>
  <c r="G101" i="8"/>
  <c r="G50" i="8" s="1"/>
  <c r="G59" i="8" s="1"/>
  <c r="I135" i="8"/>
  <c r="I136" i="8" s="1"/>
  <c r="I73" i="8" s="1"/>
  <c r="I85" i="8" s="1"/>
  <c r="D71" i="8"/>
  <c r="D72" i="8" s="1"/>
  <c r="H136" i="8"/>
  <c r="H73" i="8" s="1"/>
  <c r="H85" i="8" s="1"/>
  <c r="H47" i="8"/>
  <c r="H74" i="8"/>
  <c r="I58" i="8"/>
  <c r="H52" i="8"/>
  <c r="H49" i="8"/>
  <c r="H50" i="8" s="1"/>
  <c r="H59" i="8" s="1"/>
  <c r="I132" i="8"/>
  <c r="T106" i="8"/>
  <c r="S101" i="8"/>
  <c r="B87" i="8"/>
  <c r="B90" i="8" s="1"/>
  <c r="C72" i="8"/>
  <c r="R131" i="8"/>
  <c r="Q48" i="8"/>
  <c r="D78" i="8" l="1"/>
  <c r="D83" i="8" s="1"/>
  <c r="D86" i="8" s="1"/>
  <c r="I49" i="8"/>
  <c r="I50" i="8" s="1"/>
  <c r="I59" i="8" s="1"/>
  <c r="J132" i="8"/>
  <c r="J135" i="8"/>
  <c r="J136" i="8" s="1"/>
  <c r="J73" i="8" s="1"/>
  <c r="J85" i="8" s="1"/>
  <c r="G66" i="8"/>
  <c r="G68" i="8" s="1"/>
  <c r="G80" i="8"/>
  <c r="J58" i="8"/>
  <c r="I74" i="8"/>
  <c r="I47" i="8"/>
  <c r="I52" i="8"/>
  <c r="Q67" i="8"/>
  <c r="P76" i="8"/>
  <c r="C86" i="8"/>
  <c r="C88" i="8"/>
  <c r="D84" i="8"/>
  <c r="D88" i="8"/>
  <c r="C84" i="8"/>
  <c r="C89" i="8" s="1"/>
  <c r="H66" i="8"/>
  <c r="H68" i="8" s="1"/>
  <c r="H80" i="8"/>
  <c r="U106" i="8"/>
  <c r="T101" i="8"/>
  <c r="F75" i="8"/>
  <c r="S131" i="8"/>
  <c r="R48" i="8"/>
  <c r="E82" i="8"/>
  <c r="E56" i="8"/>
  <c r="E69" i="8" s="1"/>
  <c r="F53" i="8"/>
  <c r="J74" i="8" l="1"/>
  <c r="K58" i="8"/>
  <c r="J47" i="8"/>
  <c r="J52" i="8"/>
  <c r="D87" i="8"/>
  <c r="C87" i="8"/>
  <c r="C90" i="8" s="1"/>
  <c r="H75" i="8"/>
  <c r="U101" i="8"/>
  <c r="V106" i="8"/>
  <c r="K132" i="8"/>
  <c r="J49" i="8"/>
  <c r="J50" i="8" s="1"/>
  <c r="J59" i="8" s="1"/>
  <c r="Q76" i="8"/>
  <c r="R67" i="8"/>
  <c r="D89" i="8"/>
  <c r="F55" i="8"/>
  <c r="K135" i="8"/>
  <c r="K136" i="8" s="1"/>
  <c r="K73" i="8" s="1"/>
  <c r="K85" i="8" s="1"/>
  <c r="E77" i="8"/>
  <c r="E70" i="8"/>
  <c r="G75" i="8"/>
  <c r="S48" i="8"/>
  <c r="T131" i="8"/>
  <c r="I66" i="8"/>
  <c r="I68" i="8" s="1"/>
  <c r="I80" i="8"/>
  <c r="F56" i="8" l="1"/>
  <c r="F69" i="8" s="1"/>
  <c r="F82" i="8"/>
  <c r="J66" i="8"/>
  <c r="J68" i="8" s="1"/>
  <c r="J80" i="8"/>
  <c r="D90" i="8"/>
  <c r="E71" i="8"/>
  <c r="G53" i="8"/>
  <c r="R76" i="8"/>
  <c r="S67" i="8"/>
  <c r="L135" i="8"/>
  <c r="W106" i="8"/>
  <c r="V101" i="8"/>
  <c r="I75" i="8"/>
  <c r="K74" i="8"/>
  <c r="L58" i="8"/>
  <c r="K47" i="8"/>
  <c r="K52" i="8"/>
  <c r="K49" i="8"/>
  <c r="K50" i="8" s="1"/>
  <c r="K59" i="8" s="1"/>
  <c r="L132" i="8"/>
  <c r="U131" i="8"/>
  <c r="T48" i="8"/>
  <c r="L52" i="8" l="1"/>
  <c r="L74" i="8"/>
  <c r="L47" i="8"/>
  <c r="M58" i="8"/>
  <c r="M135" i="8"/>
  <c r="E78" i="8"/>
  <c r="E83" i="8" s="1"/>
  <c r="X106" i="8"/>
  <c r="W101" i="8"/>
  <c r="S76" i="8"/>
  <c r="T67" i="8"/>
  <c r="J75" i="8"/>
  <c r="K66" i="8"/>
  <c r="K68" i="8" s="1"/>
  <c r="K80" i="8"/>
  <c r="G55" i="8"/>
  <c r="E72" i="8"/>
  <c r="F77" i="8"/>
  <c r="F70" i="8"/>
  <c r="V131" i="8"/>
  <c r="U48" i="8"/>
  <c r="L49" i="8"/>
  <c r="L50" i="8" s="1"/>
  <c r="L59" i="8" s="1"/>
  <c r="M132" i="8"/>
  <c r="L136" i="8"/>
  <c r="L73" i="8" s="1"/>
  <c r="L85" i="8" s="1"/>
  <c r="W131" i="8" l="1"/>
  <c r="V48" i="8"/>
  <c r="L66" i="8"/>
  <c r="L68" i="8" s="1"/>
  <c r="L80" i="8"/>
  <c r="X101" i="8"/>
  <c r="Y106" i="8"/>
  <c r="G56" i="8"/>
  <c r="G69" i="8" s="1"/>
  <c r="G82" i="8"/>
  <c r="T76" i="8"/>
  <c r="U67" i="8"/>
  <c r="F71" i="8"/>
  <c r="H53" i="8"/>
  <c r="M49" i="8"/>
  <c r="M50" i="8" s="1"/>
  <c r="M59" i="8" s="1"/>
  <c r="N132" i="8"/>
  <c r="K75" i="8"/>
  <c r="E86" i="8"/>
  <c r="E84" i="8"/>
  <c r="E89" i="8" s="1"/>
  <c r="E88" i="8"/>
  <c r="N135" i="8"/>
  <c r="M136" i="8"/>
  <c r="M73" i="8" s="1"/>
  <c r="M85" i="8" s="1"/>
  <c r="N58" i="8"/>
  <c r="M47" i="8"/>
  <c r="M61" i="8" s="1"/>
  <c r="M60" i="8" s="1"/>
  <c r="M74" i="8"/>
  <c r="M52" i="8"/>
  <c r="N47" i="8" l="1"/>
  <c r="O58" i="8"/>
  <c r="N74" i="8"/>
  <c r="N52" i="8"/>
  <c r="F78" i="8"/>
  <c r="F83" i="8" s="1"/>
  <c r="N49" i="8"/>
  <c r="N50" i="8" s="1"/>
  <c r="N59" i="8" s="1"/>
  <c r="O132" i="8"/>
  <c r="F72" i="8"/>
  <c r="U76" i="8"/>
  <c r="V67" i="8"/>
  <c r="Z106" i="8"/>
  <c r="Y101" i="8"/>
  <c r="O135" i="8"/>
  <c r="O136" i="8" s="1"/>
  <c r="O73" i="8" s="1"/>
  <c r="O85" i="8" s="1"/>
  <c r="E87" i="8"/>
  <c r="E90" i="8" s="1"/>
  <c r="M66" i="8"/>
  <c r="M68" i="8" s="1"/>
  <c r="M80" i="8"/>
  <c r="L75" i="8"/>
  <c r="N136" i="8"/>
  <c r="N73" i="8" s="1"/>
  <c r="N85" i="8" s="1"/>
  <c r="H55" i="8"/>
  <c r="I53" i="8" s="1"/>
  <c r="G77" i="8"/>
  <c r="G70" i="8"/>
  <c r="W48" i="8"/>
  <c r="X131" i="8"/>
  <c r="I55" i="8" l="1"/>
  <c r="J53" i="8"/>
  <c r="O49" i="8"/>
  <c r="O50" i="8" s="1"/>
  <c r="O59" i="8" s="1"/>
  <c r="P132" i="8"/>
  <c r="F86" i="8"/>
  <c r="F88" i="8"/>
  <c r="F84" i="8"/>
  <c r="F89" i="8" s="1"/>
  <c r="N80" i="8"/>
  <c r="N66" i="8"/>
  <c r="N68" i="8" s="1"/>
  <c r="AA106" i="8"/>
  <c r="Z101" i="8"/>
  <c r="X48" i="8"/>
  <c r="Y131" i="8"/>
  <c r="M75" i="8"/>
  <c r="H56" i="8"/>
  <c r="H69" i="8" s="1"/>
  <c r="H82" i="8"/>
  <c r="P135" i="8"/>
  <c r="P136" i="8"/>
  <c r="P73" i="8" s="1"/>
  <c r="P85" i="8" s="1"/>
  <c r="G71" i="8"/>
  <c r="G72" i="8"/>
  <c r="V76" i="8"/>
  <c r="W67" i="8"/>
  <c r="P58" i="8"/>
  <c r="O47" i="8"/>
  <c r="O74" i="8"/>
  <c r="O52" i="8"/>
  <c r="X67" i="8" l="1"/>
  <c r="W76" i="8"/>
  <c r="Y48" i="8"/>
  <c r="Z131" i="8"/>
  <c r="AA101" i="8"/>
  <c r="AB106" i="8"/>
  <c r="P49" i="8"/>
  <c r="P50" i="8" s="1"/>
  <c r="P59" i="8" s="1"/>
  <c r="Q132" i="8"/>
  <c r="G78" i="8"/>
  <c r="G83" i="8" s="1"/>
  <c r="N75" i="8"/>
  <c r="O80" i="8"/>
  <c r="O66" i="8"/>
  <c r="O68" i="8" s="1"/>
  <c r="P47" i="8"/>
  <c r="Q58" i="8"/>
  <c r="P52" i="8"/>
  <c r="P74" i="8"/>
  <c r="Q135" i="8"/>
  <c r="Q136" i="8" s="1"/>
  <c r="Q73" i="8" s="1"/>
  <c r="Q85" i="8" s="1"/>
  <c r="J55" i="8"/>
  <c r="K53" i="8" s="1"/>
  <c r="H77" i="8"/>
  <c r="H70" i="8"/>
  <c r="F87" i="8"/>
  <c r="F90" i="8" s="1"/>
  <c r="I56" i="8"/>
  <c r="I69" i="8" s="1"/>
  <c r="I82" i="8"/>
  <c r="K55" i="8" l="1"/>
  <c r="L53" i="8" s="1"/>
  <c r="I77" i="8"/>
  <c r="I70" i="8"/>
  <c r="H71" i="8"/>
  <c r="H78" i="8" s="1"/>
  <c r="H72" i="8"/>
  <c r="G86" i="8"/>
  <c r="G88" i="8"/>
  <c r="G84" i="8"/>
  <c r="G89" i="8" s="1"/>
  <c r="H83" i="8"/>
  <c r="H86" i="8" s="1"/>
  <c r="Q49" i="8"/>
  <c r="Q50" i="8" s="1"/>
  <c r="Q59" i="8" s="1"/>
  <c r="R132" i="8"/>
  <c r="R135" i="8"/>
  <c r="J56" i="8"/>
  <c r="J69" i="8" s="1"/>
  <c r="J82" i="8"/>
  <c r="R58" i="8"/>
  <c r="Q52" i="8"/>
  <c r="Q47" i="8"/>
  <c r="Q74" i="8"/>
  <c r="O75" i="8"/>
  <c r="P66" i="8"/>
  <c r="P68" i="8" s="1"/>
  <c r="P80" i="8"/>
  <c r="AC106" i="8"/>
  <c r="AB101" i="8"/>
  <c r="Z48" i="8"/>
  <c r="AA131" i="8"/>
  <c r="X76" i="8"/>
  <c r="Y67" i="8"/>
  <c r="H84" i="8" l="1"/>
  <c r="H89" i="8" s="1"/>
  <c r="L55" i="8"/>
  <c r="Z67" i="8"/>
  <c r="Y76" i="8"/>
  <c r="AA48" i="8"/>
  <c r="AB131" i="8"/>
  <c r="S58" i="8"/>
  <c r="R47" i="8"/>
  <c r="R74" i="8"/>
  <c r="R52" i="8"/>
  <c r="J77" i="8"/>
  <c r="J70" i="8"/>
  <c r="I71" i="8"/>
  <c r="I78" i="8" s="1"/>
  <c r="I72" i="8"/>
  <c r="S135" i="8"/>
  <c r="S136" i="8"/>
  <c r="S73" i="8" s="1"/>
  <c r="S85" i="8" s="1"/>
  <c r="R136" i="8"/>
  <c r="R73" i="8" s="1"/>
  <c r="R85" i="8" s="1"/>
  <c r="Q80" i="8"/>
  <c r="Q66" i="8"/>
  <c r="Q68" i="8" s="1"/>
  <c r="I83" i="8"/>
  <c r="AC101" i="8"/>
  <c r="AD106" i="8"/>
  <c r="P75" i="8"/>
  <c r="R49" i="8"/>
  <c r="R50" i="8" s="1"/>
  <c r="R59" i="8" s="1"/>
  <c r="S132" i="8"/>
  <c r="H88" i="8"/>
  <c r="G87" i="8"/>
  <c r="G90" i="8" s="1"/>
  <c r="H87" i="8"/>
  <c r="H90" i="8" s="1"/>
  <c r="K56" i="8"/>
  <c r="K69" i="8" s="1"/>
  <c r="K82" i="8"/>
  <c r="T135" i="8" l="1"/>
  <c r="T136" i="8"/>
  <c r="T73" i="8" s="1"/>
  <c r="T85" i="8" s="1"/>
  <c r="I86" i="8"/>
  <c r="I87" i="8" s="1"/>
  <c r="I90" i="8" s="1"/>
  <c r="I84" i="8"/>
  <c r="I89" i="8" s="1"/>
  <c r="I88" i="8"/>
  <c r="Q75" i="8"/>
  <c r="S47" i="8"/>
  <c r="S74" i="8"/>
  <c r="T58" i="8"/>
  <c r="S52" i="8"/>
  <c r="Z76" i="8"/>
  <c r="AA67" i="8"/>
  <c r="S49" i="8"/>
  <c r="S50" i="8" s="1"/>
  <c r="S59" i="8" s="1"/>
  <c r="T132" i="8"/>
  <c r="J71" i="8"/>
  <c r="J78" i="8" s="1"/>
  <c r="L56" i="8"/>
  <c r="L69" i="8" s="1"/>
  <c r="L82" i="8"/>
  <c r="R80" i="8"/>
  <c r="R66" i="8"/>
  <c r="R68" i="8" s="1"/>
  <c r="AD101" i="8"/>
  <c r="AE106" i="8"/>
  <c r="J83" i="8"/>
  <c r="AC131" i="8"/>
  <c r="AB48" i="8"/>
  <c r="K77" i="8"/>
  <c r="K70" i="8"/>
  <c r="M53" i="8"/>
  <c r="J72" i="8" l="1"/>
  <c r="M55" i="8"/>
  <c r="K71" i="8"/>
  <c r="K78" i="8" s="1"/>
  <c r="J86" i="8"/>
  <c r="J87" i="8" s="1"/>
  <c r="J90" i="8" s="1"/>
  <c r="J84" i="8"/>
  <c r="J89" i="8" s="1"/>
  <c r="J88" i="8"/>
  <c r="R75" i="8"/>
  <c r="AF106" i="8"/>
  <c r="AE101" i="8"/>
  <c r="K83" i="8"/>
  <c r="AD131" i="8"/>
  <c r="AC48" i="8"/>
  <c r="L77" i="8"/>
  <c r="L70" i="8"/>
  <c r="T49" i="8"/>
  <c r="T50" i="8" s="1"/>
  <c r="T59" i="8" s="1"/>
  <c r="U132" i="8"/>
  <c r="S80" i="8"/>
  <c r="AB67" i="8"/>
  <c r="AA76" i="8"/>
  <c r="T74" i="8"/>
  <c r="U58" i="8"/>
  <c r="T47" i="8"/>
  <c r="T52" i="8"/>
  <c r="S61" i="8"/>
  <c r="S60" i="8" s="1"/>
  <c r="S66" i="8" s="1"/>
  <c r="S68" i="8" s="1"/>
  <c r="U135" i="8"/>
  <c r="U136" i="8"/>
  <c r="U73" i="8" s="1"/>
  <c r="U85" i="8" s="1"/>
  <c r="S75" i="8" l="1"/>
  <c r="T80" i="8"/>
  <c r="T66" i="8"/>
  <c r="T68" i="8" s="1"/>
  <c r="L71" i="8"/>
  <c r="L78" i="8" s="1"/>
  <c r="L83" i="8" s="1"/>
  <c r="U49" i="8"/>
  <c r="U50" i="8" s="1"/>
  <c r="U59" i="8" s="1"/>
  <c r="V132" i="8"/>
  <c r="AE131" i="8"/>
  <c r="AD48" i="8"/>
  <c r="AB76" i="8"/>
  <c r="AC67" i="8"/>
  <c r="AG106" i="8"/>
  <c r="AF101" i="8"/>
  <c r="K86" i="8"/>
  <c r="K87" i="8" s="1"/>
  <c r="K90" i="8" s="1"/>
  <c r="K88" i="8"/>
  <c r="K84" i="8"/>
  <c r="K89" i="8" s="1"/>
  <c r="U47" i="8"/>
  <c r="V58" i="8"/>
  <c r="U74" i="8"/>
  <c r="U52" i="8"/>
  <c r="K72" i="8"/>
  <c r="M56" i="8"/>
  <c r="M69" i="8" s="1"/>
  <c r="M82" i="8"/>
  <c r="V135" i="8"/>
  <c r="N53" i="8"/>
  <c r="L86" i="8" l="1"/>
  <c r="L87" i="8" s="1"/>
  <c r="L90" i="8" s="1"/>
  <c r="G29" i="8" s="1"/>
  <c r="L88" i="8"/>
  <c r="L84" i="8"/>
  <c r="L89" i="8" s="1"/>
  <c r="G28" i="8" s="1"/>
  <c r="W135" i="8"/>
  <c r="W136" i="8" s="1"/>
  <c r="W73" i="8" s="1"/>
  <c r="W85" i="8" s="1"/>
  <c r="N55" i="8"/>
  <c r="O53" i="8"/>
  <c r="V136" i="8"/>
  <c r="V73" i="8" s="1"/>
  <c r="V85" i="8" s="1"/>
  <c r="M77" i="8"/>
  <c r="M70" i="8"/>
  <c r="V47" i="8"/>
  <c r="W58" i="8"/>
  <c r="V52" i="8"/>
  <c r="V74" i="8"/>
  <c r="AC76" i="8"/>
  <c r="AD67" i="8"/>
  <c r="AF131" i="8"/>
  <c r="AE48" i="8"/>
  <c r="L72" i="8"/>
  <c r="AH106" i="8"/>
  <c r="AG101" i="8"/>
  <c r="V49" i="8"/>
  <c r="V50" i="8" s="1"/>
  <c r="V59" i="8" s="1"/>
  <c r="W132" i="8"/>
  <c r="U80" i="8"/>
  <c r="U66" i="8"/>
  <c r="U68" i="8" s="1"/>
  <c r="T75" i="8"/>
  <c r="U75" i="8" l="1"/>
  <c r="W49" i="8"/>
  <c r="W50" i="8" s="1"/>
  <c r="W59" i="8" s="1"/>
  <c r="X132" i="8"/>
  <c r="V80" i="8"/>
  <c r="V66" i="8"/>
  <c r="V68" i="8" s="1"/>
  <c r="AG131" i="8"/>
  <c r="AF48" i="8"/>
  <c r="AI106" i="8"/>
  <c r="AH101" i="8"/>
  <c r="AD76" i="8"/>
  <c r="AE67" i="8"/>
  <c r="X58" i="8"/>
  <c r="W47" i="8"/>
  <c r="W74" i="8"/>
  <c r="W52" i="8"/>
  <c r="M71" i="8"/>
  <c r="M78" i="8" s="1"/>
  <c r="M83" i="8" s="1"/>
  <c r="M72" i="8"/>
  <c r="O55" i="8"/>
  <c r="N82" i="8"/>
  <c r="N56" i="8"/>
  <c r="N69" i="8" s="1"/>
  <c r="X135" i="8"/>
  <c r="M86" i="8" l="1"/>
  <c r="M87" i="8" s="1"/>
  <c r="M90" i="8" s="1"/>
  <c r="M88" i="8"/>
  <c r="M84" i="8"/>
  <c r="M89" i="8" s="1"/>
  <c r="N77" i="8"/>
  <c r="N70" i="8"/>
  <c r="AE76" i="8"/>
  <c r="AF67" i="8"/>
  <c r="Y135" i="8"/>
  <c r="Y136" i="8" s="1"/>
  <c r="Y73" i="8" s="1"/>
  <c r="Y85" i="8" s="1"/>
  <c r="Y58" i="8"/>
  <c r="X47" i="8"/>
  <c r="X52" i="8"/>
  <c r="X74" i="8"/>
  <c r="X136" i="8"/>
  <c r="X73" i="8" s="1"/>
  <c r="X85" i="8" s="1"/>
  <c r="O82" i="8"/>
  <c r="O56" i="8"/>
  <c r="O69" i="8" s="1"/>
  <c r="P53" i="8"/>
  <c r="AJ106" i="8"/>
  <c r="AI101" i="8"/>
  <c r="AH131" i="8"/>
  <c r="AG48" i="8"/>
  <c r="V75" i="8"/>
  <c r="X49" i="8"/>
  <c r="X50" i="8" s="1"/>
  <c r="X59" i="8" s="1"/>
  <c r="Y132" i="8"/>
  <c r="W80" i="8"/>
  <c r="W66" i="8"/>
  <c r="W68" i="8" s="1"/>
  <c r="W75" i="8" l="1"/>
  <c r="Y49" i="8"/>
  <c r="Y50" i="8" s="1"/>
  <c r="Y59" i="8" s="1"/>
  <c r="Z132" i="8"/>
  <c r="AI131" i="8"/>
  <c r="AH48" i="8"/>
  <c r="P55" i="8"/>
  <c r="AK106" i="8"/>
  <c r="AJ101" i="8"/>
  <c r="X80" i="8"/>
  <c r="X66" i="8"/>
  <c r="X68" i="8" s="1"/>
  <c r="O77" i="8"/>
  <c r="O70" i="8"/>
  <c r="Z58" i="8"/>
  <c r="Y47" i="8"/>
  <c r="Y61" i="8" s="1"/>
  <c r="Y60" i="8" s="1"/>
  <c r="Y74" i="8"/>
  <c r="Y52" i="8"/>
  <c r="Z135" i="8"/>
  <c r="Z136" i="8" s="1"/>
  <c r="Z73" i="8" s="1"/>
  <c r="Z85" i="8" s="1"/>
  <c r="AF76" i="8"/>
  <c r="AG67" i="8"/>
  <c r="N71" i="8"/>
  <c r="N78" i="8" s="1"/>
  <c r="N83" i="8" s="1"/>
  <c r="N72" i="8"/>
  <c r="AH67" i="8" l="1"/>
  <c r="AG76" i="8"/>
  <c r="AA58" i="8"/>
  <c r="Z47" i="8"/>
  <c r="Z74" i="8"/>
  <c r="Z52" i="8"/>
  <c r="N86" i="8"/>
  <c r="N87" i="8" s="1"/>
  <c r="N90" i="8" s="1"/>
  <c r="N84" i="8"/>
  <c r="N89" i="8" s="1"/>
  <c r="N88" i="8"/>
  <c r="O71" i="8"/>
  <c r="O78" i="8" s="1"/>
  <c r="X75" i="8"/>
  <c r="AL106" i="8"/>
  <c r="AK101" i="8"/>
  <c r="P82" i="8"/>
  <c r="P56" i="8"/>
  <c r="P69" i="8" s="1"/>
  <c r="Q53" i="8"/>
  <c r="AJ131" i="8"/>
  <c r="AI48" i="8"/>
  <c r="AA132" i="8"/>
  <c r="Z49" i="8"/>
  <c r="Z50" i="8" s="1"/>
  <c r="Z59" i="8" s="1"/>
  <c r="Y80" i="8"/>
  <c r="Y66" i="8"/>
  <c r="Y68" i="8" s="1"/>
  <c r="AA135" i="8"/>
  <c r="O83" i="8"/>
  <c r="O72" i="8" l="1"/>
  <c r="Y75" i="8"/>
  <c r="O86" i="8"/>
  <c r="O87" i="8" s="1"/>
  <c r="O90" i="8" s="1"/>
  <c r="O84" i="8"/>
  <c r="O89" i="8" s="1"/>
  <c r="O88" i="8"/>
  <c r="AB135" i="8"/>
  <c r="AB136" i="8" s="1"/>
  <c r="AB73" i="8" s="1"/>
  <c r="AB85" i="8" s="1"/>
  <c r="AA136" i="8"/>
  <c r="AA73" i="8" s="1"/>
  <c r="AA85" i="8" s="1"/>
  <c r="Z80" i="8"/>
  <c r="Z66" i="8"/>
  <c r="Z68" i="8" s="1"/>
  <c r="AA49" i="8"/>
  <c r="AA50" i="8" s="1"/>
  <c r="AA59" i="8" s="1"/>
  <c r="AB132" i="8"/>
  <c r="AK131" i="8"/>
  <c r="AJ48" i="8"/>
  <c r="Q55" i="8"/>
  <c r="P77" i="8"/>
  <c r="P70" i="8"/>
  <c r="AM106" i="8"/>
  <c r="AL101" i="8"/>
  <c r="AB58" i="8"/>
  <c r="AA47" i="8"/>
  <c r="AA74" i="8"/>
  <c r="AA52" i="8"/>
  <c r="AH76" i="8"/>
  <c r="AI67" i="8"/>
  <c r="AI76" i="8" l="1"/>
  <c r="AJ67" i="8"/>
  <c r="Q56" i="8"/>
  <c r="Q69" i="8" s="1"/>
  <c r="Q82" i="8"/>
  <c r="P71" i="8"/>
  <c r="P78" i="8" s="1"/>
  <c r="P72" i="8"/>
  <c r="AB47" i="8"/>
  <c r="AC58" i="8"/>
  <c r="AB52" i="8"/>
  <c r="AB74" i="8"/>
  <c r="AN106" i="8"/>
  <c r="AM101" i="8"/>
  <c r="P83" i="8"/>
  <c r="R53" i="8"/>
  <c r="AL131" i="8"/>
  <c r="AK48" i="8"/>
  <c r="AB49" i="8"/>
  <c r="AB50" i="8" s="1"/>
  <c r="AB59" i="8" s="1"/>
  <c r="AC132" i="8"/>
  <c r="AA80" i="8"/>
  <c r="AA66" i="8"/>
  <c r="AA68" i="8" s="1"/>
  <c r="Z75" i="8"/>
  <c r="AC135" i="8"/>
  <c r="AA75" i="8" l="1"/>
  <c r="AD132" i="8"/>
  <c r="AC49" i="8"/>
  <c r="AC50" i="8" s="1"/>
  <c r="AC59" i="8" s="1"/>
  <c r="P86" i="8"/>
  <c r="P87" i="8" s="1"/>
  <c r="P90" i="8" s="1"/>
  <c r="P88" i="8"/>
  <c r="P84" i="8"/>
  <c r="P89" i="8" s="1"/>
  <c r="AO106" i="8"/>
  <c r="AN101" i="8"/>
  <c r="AD135" i="8"/>
  <c r="AD136" i="8"/>
  <c r="AD73" i="8" s="1"/>
  <c r="AD85" i="8" s="1"/>
  <c r="AC136" i="8"/>
  <c r="AC73" i="8" s="1"/>
  <c r="AC85" i="8" s="1"/>
  <c r="AB80" i="8"/>
  <c r="AB66" i="8"/>
  <c r="AB68" i="8" s="1"/>
  <c r="AL48" i="8"/>
  <c r="AM131" i="8"/>
  <c r="R55" i="8"/>
  <c r="AD58" i="8"/>
  <c r="AC47" i="8"/>
  <c r="AC74" i="8"/>
  <c r="AC52" i="8"/>
  <c r="Q77" i="8"/>
  <c r="Q70" i="8"/>
  <c r="AK67" i="8"/>
  <c r="AJ76" i="8"/>
  <c r="AD47" i="8" l="1"/>
  <c r="AE58" i="8"/>
  <c r="AD52" i="8"/>
  <c r="AD74" i="8"/>
  <c r="AB75" i="8"/>
  <c r="AN131" i="8"/>
  <c r="AM48" i="8"/>
  <c r="AL67" i="8"/>
  <c r="AK76" i="8"/>
  <c r="Q71" i="8"/>
  <c r="Q78" i="8" s="1"/>
  <c r="Q83" i="8" s="1"/>
  <c r="Q72" i="8"/>
  <c r="R82" i="8"/>
  <c r="R56" i="8"/>
  <c r="R69" i="8" s="1"/>
  <c r="S53" i="8"/>
  <c r="AE135" i="8"/>
  <c r="AE136" i="8"/>
  <c r="AE73" i="8" s="1"/>
  <c r="AE85" i="8" s="1"/>
  <c r="AO101" i="8"/>
  <c r="AP106" i="8"/>
  <c r="AQ106" i="8" s="1"/>
  <c r="AR106" i="8" s="1"/>
  <c r="AC80" i="8"/>
  <c r="AC66" i="8"/>
  <c r="AC68" i="8" s="1"/>
  <c r="AE132" i="8"/>
  <c r="AD49" i="8"/>
  <c r="AD50" i="8" s="1"/>
  <c r="AD59" i="8" s="1"/>
  <c r="Q86" i="8" l="1"/>
  <c r="Q87" i="8" s="1"/>
  <c r="Q90" i="8" s="1"/>
  <c r="Q88" i="8"/>
  <c r="Q84" i="8"/>
  <c r="Q89" i="8" s="1"/>
  <c r="S55" i="8"/>
  <c r="AD66" i="8"/>
  <c r="AD68" i="8" s="1"/>
  <c r="AD80" i="8"/>
  <c r="AF132" i="8"/>
  <c r="AE49" i="8"/>
  <c r="AE50" i="8" s="1"/>
  <c r="AE59" i="8" s="1"/>
  <c r="AC75" i="8"/>
  <c r="AF135" i="8"/>
  <c r="AF136" i="8" s="1"/>
  <c r="AF73" i="8" s="1"/>
  <c r="AF85" i="8" s="1"/>
  <c r="R77" i="8"/>
  <c r="R70" i="8"/>
  <c r="AM67" i="8"/>
  <c r="AL76" i="8"/>
  <c r="AO131" i="8"/>
  <c r="AO48" i="8" s="1"/>
  <c r="AN48" i="8"/>
  <c r="AE47" i="8"/>
  <c r="AE61" i="8" s="1"/>
  <c r="AE60" i="8" s="1"/>
  <c r="AF58" i="8"/>
  <c r="AE74" i="8"/>
  <c r="AE52" i="8"/>
  <c r="AG58" i="8" l="1"/>
  <c r="AF47" i="8"/>
  <c r="AF52" i="8"/>
  <c r="AF74" i="8"/>
  <c r="AN67" i="8"/>
  <c r="AM76" i="8"/>
  <c r="R71" i="8"/>
  <c r="R78" i="8" s="1"/>
  <c r="R83" i="8" s="1"/>
  <c r="AG135" i="8"/>
  <c r="AG136" i="8" s="1"/>
  <c r="AG73" i="8" s="1"/>
  <c r="AG85" i="8" s="1"/>
  <c r="AE80" i="8"/>
  <c r="AE66" i="8"/>
  <c r="AE68" i="8" s="1"/>
  <c r="AF49" i="8"/>
  <c r="AF50" i="8" s="1"/>
  <c r="AF59" i="8" s="1"/>
  <c r="AG132" i="8"/>
  <c r="AD75" i="8"/>
  <c r="S82" i="8"/>
  <c r="S56" i="8"/>
  <c r="S69" i="8" s="1"/>
  <c r="T53" i="8"/>
  <c r="R72" i="8" l="1"/>
  <c r="S77" i="8"/>
  <c r="S70" i="8"/>
  <c r="AG49" i="8"/>
  <c r="AG50" i="8" s="1"/>
  <c r="AG59" i="8" s="1"/>
  <c r="AH132" i="8"/>
  <c r="T55" i="8"/>
  <c r="AF80" i="8"/>
  <c r="AF66" i="8"/>
  <c r="AF68" i="8" s="1"/>
  <c r="AE75" i="8"/>
  <c r="AH135" i="8"/>
  <c r="AH136" i="8"/>
  <c r="AH73" i="8" s="1"/>
  <c r="AH85" i="8" s="1"/>
  <c r="R86" i="8"/>
  <c r="R87" i="8" s="1"/>
  <c r="R84" i="8"/>
  <c r="R89" i="8" s="1"/>
  <c r="R88" i="8"/>
  <c r="AO67" i="8"/>
  <c r="AO76" i="8" s="1"/>
  <c r="AN76" i="8"/>
  <c r="AG47" i="8"/>
  <c r="AH58" i="8"/>
  <c r="AG52" i="8"/>
  <c r="AG74" i="8"/>
  <c r="R90" i="8" l="1"/>
  <c r="G30" i="8"/>
  <c r="AI132" i="8"/>
  <c r="AH49" i="8"/>
  <c r="AH50" i="8" s="1"/>
  <c r="AH59" i="8" s="1"/>
  <c r="AI58" i="8"/>
  <c r="AH47" i="8"/>
  <c r="AH74" i="8"/>
  <c r="AH52" i="8"/>
  <c r="AI135" i="8"/>
  <c r="AI136" i="8" s="1"/>
  <c r="AI73" i="8" s="1"/>
  <c r="AI85" i="8" s="1"/>
  <c r="AF75" i="8"/>
  <c r="T56" i="8"/>
  <c r="T69" i="8" s="1"/>
  <c r="T82" i="8"/>
  <c r="U53" i="8"/>
  <c r="AG80" i="8"/>
  <c r="AG66" i="8"/>
  <c r="AG68" i="8" s="1"/>
  <c r="S71" i="8"/>
  <c r="S78" i="8" s="1"/>
  <c r="S83" i="8" s="1"/>
  <c r="S86" i="8" l="1"/>
  <c r="S87" i="8" s="1"/>
  <c r="S90" i="8" s="1"/>
  <c r="S84" i="8"/>
  <c r="S89" i="8" s="1"/>
  <c r="S88" i="8"/>
  <c r="S72" i="8"/>
  <c r="T77" i="8"/>
  <c r="T70" i="8"/>
  <c r="AG75" i="8"/>
  <c r="U55" i="8"/>
  <c r="V53" i="8" s="1"/>
  <c r="AJ135" i="8"/>
  <c r="AJ136" i="8"/>
  <c r="AJ73" i="8" s="1"/>
  <c r="AJ85" i="8" s="1"/>
  <c r="AJ58" i="8"/>
  <c r="AI47" i="8"/>
  <c r="AI74" i="8"/>
  <c r="AI52" i="8"/>
  <c r="AH80" i="8"/>
  <c r="AH66" i="8"/>
  <c r="AH68" i="8" s="1"/>
  <c r="AJ132" i="8"/>
  <c r="AI49" i="8"/>
  <c r="AI50" i="8" s="1"/>
  <c r="AI59" i="8" s="1"/>
  <c r="V55" i="8" l="1"/>
  <c r="W53" i="8"/>
  <c r="AI80" i="8"/>
  <c r="AI66" i="8"/>
  <c r="AI68" i="8" s="1"/>
  <c r="AJ49" i="8"/>
  <c r="AJ50" i="8" s="1"/>
  <c r="AJ59" i="8" s="1"/>
  <c r="AK132" i="8"/>
  <c r="AJ47" i="8"/>
  <c r="AK58" i="8"/>
  <c r="AJ74" i="8"/>
  <c r="AJ52" i="8"/>
  <c r="AK135" i="8"/>
  <c r="AK136" i="8"/>
  <c r="AK73" i="8" s="1"/>
  <c r="AK85" i="8" s="1"/>
  <c r="T71" i="8"/>
  <c r="T78" i="8" s="1"/>
  <c r="T83" i="8" s="1"/>
  <c r="AH75" i="8"/>
  <c r="U82" i="8"/>
  <c r="U56" i="8"/>
  <c r="U69" i="8" s="1"/>
  <c r="T72" i="8" l="1"/>
  <c r="T86" i="8"/>
  <c r="T87" i="8" s="1"/>
  <c r="T90" i="8" s="1"/>
  <c r="T88" i="8"/>
  <c r="T84" i="8"/>
  <c r="T89" i="8" s="1"/>
  <c r="U77" i="8"/>
  <c r="U70" i="8"/>
  <c r="AL135" i="8"/>
  <c r="AL136" i="8"/>
  <c r="AL73" i="8" s="1"/>
  <c r="AL85" i="8" s="1"/>
  <c r="AL58" i="8"/>
  <c r="AK47" i="8"/>
  <c r="AK74" i="8"/>
  <c r="AK52" i="8"/>
  <c r="AL132" i="8"/>
  <c r="AK49" i="8"/>
  <c r="AK50" i="8" s="1"/>
  <c r="AK59" i="8" s="1"/>
  <c r="AJ80" i="8"/>
  <c r="AJ66" i="8"/>
  <c r="AJ68" i="8" s="1"/>
  <c r="AI75" i="8"/>
  <c r="W55" i="8"/>
  <c r="X53" i="8"/>
  <c r="V82" i="8"/>
  <c r="V56" i="8"/>
  <c r="V69" i="8" s="1"/>
  <c r="V77" i="8" l="1"/>
  <c r="V70" i="8"/>
  <c r="W82" i="8"/>
  <c r="W56" i="8"/>
  <c r="W69" i="8" s="1"/>
  <c r="AK80" i="8"/>
  <c r="AL49" i="8"/>
  <c r="AL50" i="8" s="1"/>
  <c r="AL59" i="8" s="1"/>
  <c r="AM132" i="8"/>
  <c r="X55" i="8"/>
  <c r="AJ75" i="8"/>
  <c r="AK61" i="8"/>
  <c r="AK60" i="8" s="1"/>
  <c r="AK66" i="8" s="1"/>
  <c r="AK68" i="8" s="1"/>
  <c r="AM58" i="8"/>
  <c r="AL74" i="8"/>
  <c r="AL52" i="8"/>
  <c r="AL47" i="8"/>
  <c r="AM135" i="8"/>
  <c r="AM136" i="8"/>
  <c r="AM73" i="8" s="1"/>
  <c r="AM85" i="8" s="1"/>
  <c r="U71" i="8"/>
  <c r="U78" i="8" s="1"/>
  <c r="U83" i="8" s="1"/>
  <c r="U86" i="8" l="1"/>
  <c r="U87" i="8" s="1"/>
  <c r="U90" i="8" s="1"/>
  <c r="U84" i="8"/>
  <c r="U89" i="8" s="1"/>
  <c r="U88" i="8"/>
  <c r="AK75" i="8"/>
  <c r="U72" i="8"/>
  <c r="AN132" i="8"/>
  <c r="AM49" i="8"/>
  <c r="AM50" i="8" s="1"/>
  <c r="AM59" i="8" s="1"/>
  <c r="V71" i="8"/>
  <c r="V78" i="8" s="1"/>
  <c r="AN135" i="8"/>
  <c r="AN136" i="8" s="1"/>
  <c r="AN73" i="8" s="1"/>
  <c r="AN85" i="8" s="1"/>
  <c r="AM74" i="8"/>
  <c r="AM52" i="8"/>
  <c r="AM47" i="8"/>
  <c r="AN58" i="8"/>
  <c r="X82" i="8"/>
  <c r="X56" i="8"/>
  <c r="X69" i="8" s="1"/>
  <c r="Y53" i="8"/>
  <c r="AL80" i="8"/>
  <c r="AL66" i="8"/>
  <c r="AL68" i="8" s="1"/>
  <c r="W77" i="8"/>
  <c r="W70" i="8"/>
  <c r="V83" i="8"/>
  <c r="V72" i="8" l="1"/>
  <c r="X77" i="8"/>
  <c r="X70" i="8"/>
  <c r="V86" i="8"/>
  <c r="V87" i="8" s="1"/>
  <c r="V90" i="8" s="1"/>
  <c r="V88" i="8"/>
  <c r="V84" i="8"/>
  <c r="V89" i="8" s="1"/>
  <c r="AN74" i="8"/>
  <c r="AN47" i="8"/>
  <c r="AN52" i="8"/>
  <c r="AO58" i="8"/>
  <c r="AO135" i="8"/>
  <c r="AO136" i="8" s="1"/>
  <c r="AO73" i="8" s="1"/>
  <c r="AO85" i="8" s="1"/>
  <c r="W71" i="8"/>
  <c r="W78" i="8" s="1"/>
  <c r="W83" i="8" s="1"/>
  <c r="AL75" i="8"/>
  <c r="Y55" i="8"/>
  <c r="AN49" i="8"/>
  <c r="AN50" i="8" s="1"/>
  <c r="AN59" i="8" s="1"/>
  <c r="AO132" i="8"/>
  <c r="AO49" i="8" s="1"/>
  <c r="AO50" i="8" s="1"/>
  <c r="AO59" i="8" s="1"/>
  <c r="AM80" i="8"/>
  <c r="AM66" i="8"/>
  <c r="AM68" i="8" s="1"/>
  <c r="W72" i="8" l="1"/>
  <c r="AM75" i="8"/>
  <c r="AO66" i="8"/>
  <c r="AO68" i="8" s="1"/>
  <c r="AO80" i="8"/>
  <c r="W86" i="8"/>
  <c r="W87" i="8" s="1"/>
  <c r="W90" i="8" s="1"/>
  <c r="W88" i="8"/>
  <c r="W84" i="8"/>
  <c r="W89" i="8" s="1"/>
  <c r="Y82" i="8"/>
  <c r="Y56" i="8"/>
  <c r="Y69" i="8" s="1"/>
  <c r="AN66" i="8"/>
  <c r="AN68" i="8" s="1"/>
  <c r="AN80" i="8"/>
  <c r="Z53" i="8"/>
  <c r="AO52" i="8"/>
  <c r="AO74" i="8"/>
  <c r="AO47" i="8"/>
  <c r="X71" i="8"/>
  <c r="X78" i="8" s="1"/>
  <c r="X83" i="8" s="1"/>
  <c r="X86" i="8" l="1"/>
  <c r="X87" i="8" s="1"/>
  <c r="X90" i="8" s="1"/>
  <c r="X84" i="8"/>
  <c r="X89" i="8" s="1"/>
  <c r="X88" i="8"/>
  <c r="Z55" i="8"/>
  <c r="AN75" i="8"/>
  <c r="Y77" i="8"/>
  <c r="Y70" i="8"/>
  <c r="X72" i="8"/>
  <c r="AO75" i="8"/>
  <c r="Y71" i="8" l="1"/>
  <c r="Y78" i="8" s="1"/>
  <c r="Y83" i="8" s="1"/>
  <c r="Z82" i="8"/>
  <c r="Z56" i="8"/>
  <c r="Z69" i="8" s="1"/>
  <c r="AA53" i="8"/>
  <c r="AA55" i="8" l="1"/>
  <c r="Z77" i="8"/>
  <c r="Z70" i="8"/>
  <c r="Y86" i="8"/>
  <c r="Y87" i="8" s="1"/>
  <c r="Y90" i="8" s="1"/>
  <c r="Y88" i="8"/>
  <c r="Y84" i="8"/>
  <c r="Y89" i="8" s="1"/>
  <c r="Y72" i="8"/>
  <c r="Z71" i="8" l="1"/>
  <c r="Z78" i="8" s="1"/>
  <c r="Z83" i="8" s="1"/>
  <c r="AA56" i="8"/>
  <c r="AA69" i="8" s="1"/>
  <c r="AA82" i="8"/>
  <c r="AB53" i="8"/>
  <c r="Z72" i="8" l="1"/>
  <c r="AB55" i="8"/>
  <c r="AA77" i="8"/>
  <c r="AA70" i="8"/>
  <c r="Z86" i="8"/>
  <c r="Z87" i="8" s="1"/>
  <c r="Z90" i="8" s="1"/>
  <c r="Z88" i="8"/>
  <c r="Z84" i="8"/>
  <c r="Z89" i="8" s="1"/>
  <c r="AA71" i="8" l="1"/>
  <c r="AA78" i="8" s="1"/>
  <c r="AA83" i="8" s="1"/>
  <c r="AB82" i="8"/>
  <c r="AB56" i="8"/>
  <c r="AB69" i="8" s="1"/>
  <c r="AC53" i="8"/>
  <c r="AA72" i="8" l="1"/>
  <c r="AC55" i="8"/>
  <c r="AB77" i="8"/>
  <c r="AB70" i="8"/>
  <c r="AA86" i="8"/>
  <c r="AA87" i="8" s="1"/>
  <c r="AA90" i="8" s="1"/>
  <c r="AA84" i="8"/>
  <c r="AA89" i="8" s="1"/>
  <c r="AA88" i="8"/>
  <c r="AB71" i="8" l="1"/>
  <c r="AB78" i="8" s="1"/>
  <c r="AB83" i="8"/>
  <c r="AC82" i="8"/>
  <c r="AC56" i="8"/>
  <c r="AC69" i="8" s="1"/>
  <c r="AD53" i="8"/>
  <c r="AD55" i="8" l="1"/>
  <c r="AE53" i="8"/>
  <c r="AC77" i="8"/>
  <c r="AC70" i="8"/>
  <c r="AB86" i="8"/>
  <c r="AB87" i="8" s="1"/>
  <c r="AB90" i="8" s="1"/>
  <c r="AB88" i="8"/>
  <c r="AB84" i="8"/>
  <c r="AB89" i="8" s="1"/>
  <c r="AB72" i="8"/>
  <c r="AC71" i="8" l="1"/>
  <c r="AC78" i="8" s="1"/>
  <c r="AC72" i="8"/>
  <c r="AC83" i="8"/>
  <c r="AE55" i="8"/>
  <c r="AD56" i="8"/>
  <c r="AD69" i="8" s="1"/>
  <c r="AD82" i="8"/>
  <c r="AD77" i="8" l="1"/>
  <c r="AD70" i="8"/>
  <c r="AE56" i="8"/>
  <c r="AE69" i="8" s="1"/>
  <c r="AE82" i="8"/>
  <c r="AF53" i="8"/>
  <c r="AC86" i="8"/>
  <c r="AC87" i="8" s="1"/>
  <c r="AC90" i="8" s="1"/>
  <c r="AC84" i="8"/>
  <c r="AC89" i="8" s="1"/>
  <c r="AC88" i="8"/>
  <c r="AF55" i="8" l="1"/>
  <c r="AE77" i="8"/>
  <c r="AE70" i="8"/>
  <c r="AD71" i="8"/>
  <c r="AD78" i="8" s="1"/>
  <c r="AD72" i="8"/>
  <c r="AD83" i="8"/>
  <c r="AD86" i="8" l="1"/>
  <c r="AD87" i="8" s="1"/>
  <c r="AD90" i="8" s="1"/>
  <c r="AD84" i="8"/>
  <c r="AD89" i="8" s="1"/>
  <c r="AD88" i="8"/>
  <c r="AE71" i="8"/>
  <c r="AE78" i="8" s="1"/>
  <c r="AE83" i="8" s="1"/>
  <c r="AF82" i="8"/>
  <c r="AF56" i="8"/>
  <c r="AF69" i="8" s="1"/>
  <c r="AG53" i="8"/>
  <c r="AE86" i="8" l="1"/>
  <c r="AE87" i="8" s="1"/>
  <c r="AE90" i="8" s="1"/>
  <c r="AE88" i="8"/>
  <c r="AE84" i="8"/>
  <c r="AE89" i="8" s="1"/>
  <c r="AG55" i="8"/>
  <c r="AH53" i="8"/>
  <c r="AF77" i="8"/>
  <c r="AF70" i="8"/>
  <c r="AE72" i="8"/>
  <c r="AF71" i="8" l="1"/>
  <c r="AF78" i="8" s="1"/>
  <c r="AF72" i="8"/>
  <c r="AF83" i="8"/>
  <c r="AH55" i="8"/>
  <c r="AI53" i="8"/>
  <c r="AG82" i="8"/>
  <c r="AG56" i="8"/>
  <c r="AG69" i="8" s="1"/>
  <c r="AG77" i="8" l="1"/>
  <c r="AG70" i="8"/>
  <c r="AI55" i="8"/>
  <c r="AH82" i="8"/>
  <c r="AH56" i="8"/>
  <c r="AH69" i="8" s="1"/>
  <c r="AF86" i="8"/>
  <c r="AF87" i="8" s="1"/>
  <c r="AF90" i="8" s="1"/>
  <c r="AF88" i="8"/>
  <c r="AF84" i="8"/>
  <c r="AF89" i="8" s="1"/>
  <c r="AH77" i="8" l="1"/>
  <c r="AH70" i="8"/>
  <c r="AI82" i="8"/>
  <c r="AI56" i="8"/>
  <c r="AI69" i="8" s="1"/>
  <c r="AJ53" i="8"/>
  <c r="AG71" i="8"/>
  <c r="AG78" i="8" s="1"/>
  <c r="AG72" i="8"/>
  <c r="AG83" i="8"/>
  <c r="AG86" i="8" l="1"/>
  <c r="AG87" i="8" s="1"/>
  <c r="AG90" i="8" s="1"/>
  <c r="AG88" i="8"/>
  <c r="AG84" i="8"/>
  <c r="AG89" i="8" s="1"/>
  <c r="AJ55" i="8"/>
  <c r="AI77" i="8"/>
  <c r="AI70" i="8"/>
  <c r="AH71" i="8"/>
  <c r="AH78" i="8" s="1"/>
  <c r="AH83" i="8" s="1"/>
  <c r="AH86" i="8" l="1"/>
  <c r="AH87" i="8" s="1"/>
  <c r="AH90" i="8" s="1"/>
  <c r="AH84" i="8"/>
  <c r="AH89" i="8" s="1"/>
  <c r="AH88" i="8"/>
  <c r="AH72" i="8"/>
  <c r="AI71" i="8"/>
  <c r="AI78" i="8" s="1"/>
  <c r="AI83" i="8" s="1"/>
  <c r="AJ82" i="8"/>
  <c r="AJ56" i="8"/>
  <c r="AJ69" i="8" s="1"/>
  <c r="AK53" i="8"/>
  <c r="AI86" i="8" l="1"/>
  <c r="AI87" i="8" s="1"/>
  <c r="AI90" i="8" s="1"/>
  <c r="AI84" i="8"/>
  <c r="AI89" i="8" s="1"/>
  <c r="AI88" i="8"/>
  <c r="AK55" i="8"/>
  <c r="AL53" i="8" s="1"/>
  <c r="AJ77" i="8"/>
  <c r="AJ70" i="8"/>
  <c r="AI72" i="8"/>
  <c r="AL55" i="8" l="1"/>
  <c r="AM53" i="8"/>
  <c r="AJ71" i="8"/>
  <c r="AJ78" i="8" s="1"/>
  <c r="AJ83" i="8" s="1"/>
  <c r="AJ72" i="8"/>
  <c r="AK82" i="8"/>
  <c r="AK56" i="8"/>
  <c r="AK69" i="8" s="1"/>
  <c r="AJ86" i="8" l="1"/>
  <c r="AJ87" i="8" s="1"/>
  <c r="AJ90" i="8" s="1"/>
  <c r="AJ84" i="8"/>
  <c r="AJ89" i="8" s="1"/>
  <c r="AJ88" i="8"/>
  <c r="AK77" i="8"/>
  <c r="AK70" i="8"/>
  <c r="AM55" i="8"/>
  <c r="AL56" i="8"/>
  <c r="AL69" i="8" s="1"/>
  <c r="AL82" i="8"/>
  <c r="AL77" i="8" l="1"/>
  <c r="AL70" i="8"/>
  <c r="AM56" i="8"/>
  <c r="AM69" i="8" s="1"/>
  <c r="AM82" i="8"/>
  <c r="AN53" i="8"/>
  <c r="AK71" i="8"/>
  <c r="AK78" i="8" s="1"/>
  <c r="AK72" i="8"/>
  <c r="AK83" i="8"/>
  <c r="AK86" i="8" l="1"/>
  <c r="AK87" i="8" s="1"/>
  <c r="AK90" i="8" s="1"/>
  <c r="AK84" i="8"/>
  <c r="AK89" i="8" s="1"/>
  <c r="AK88" i="8"/>
  <c r="AN55" i="8"/>
  <c r="AN56" i="8" s="1"/>
  <c r="AN69" i="8" s="1"/>
  <c r="AO53" i="8"/>
  <c r="AO55" i="8" s="1"/>
  <c r="AM77" i="8"/>
  <c r="AM70" i="8"/>
  <c r="AL71" i="8"/>
  <c r="AL78" i="8" s="1"/>
  <c r="AL83" i="8" s="1"/>
  <c r="AL86" i="8" l="1"/>
  <c r="AL87" i="8" s="1"/>
  <c r="AL90" i="8" s="1"/>
  <c r="AL84" i="8"/>
  <c r="AL89" i="8" s="1"/>
  <c r="AL88" i="8"/>
  <c r="AO56" i="8"/>
  <c r="AO69" i="8" s="1"/>
  <c r="AO82" i="8"/>
  <c r="AN77" i="8"/>
  <c r="AN70" i="8"/>
  <c r="AM71" i="8"/>
  <c r="AM78" i="8" s="1"/>
  <c r="AM83" i="8" s="1"/>
  <c r="AL72" i="8"/>
  <c r="AM72" i="8" l="1"/>
  <c r="AM86" i="8"/>
  <c r="AM87" i="8" s="1"/>
  <c r="AM90" i="8" s="1"/>
  <c r="AM84" i="8"/>
  <c r="AM89" i="8" s="1"/>
  <c r="AM88" i="8"/>
  <c r="AN71" i="8"/>
  <c r="AN78" i="8" s="1"/>
  <c r="AN83" i="8" s="1"/>
  <c r="AO77" i="8"/>
  <c r="AO70" i="8"/>
  <c r="AN86" i="8" l="1"/>
  <c r="AN87" i="8" s="1"/>
  <c r="AN90" i="8" s="1"/>
  <c r="AN84" i="8"/>
  <c r="AN89" i="8" s="1"/>
  <c r="AN88" i="8"/>
  <c r="AO71" i="8"/>
  <c r="AO78" i="8" s="1"/>
  <c r="AO83" i="8"/>
  <c r="AN72" i="8"/>
  <c r="AO86" i="8" l="1"/>
  <c r="AO87" i="8" s="1"/>
  <c r="AO90" i="8" s="1"/>
  <c r="AO88" i="8"/>
  <c r="AO84" i="8"/>
  <c r="AO89" i="8" s="1"/>
  <c r="AO7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tc={0034007C-00AD-49F6-867B-0069005F007B}</author>
  </authors>
  <commentList>
    <comment ref="H102" authorId="0" shapeId="0" xr:uid="{0034007C-00AD-49F6-867B-0069005F007B}">
      <text>
        <r>
          <rPr>
            <b/>
            <sz val="9"/>
            <rFont val="Tahoma"/>
            <family val="2"/>
            <charset val="204"/>
          </rPr>
          <t>Счастливая Галина Александровна:</t>
        </r>
        <r>
          <rPr>
            <sz val="9"/>
            <rFont val="Tahoma"/>
            <family val="2"/>
            <charset val="204"/>
          </rPr>
          <t xml:space="preserve">
форма 9
</t>
        </r>
      </text>
    </comment>
  </commentList>
</comments>
</file>

<file path=xl/sharedStrings.xml><?xml version="1.0" encoding="utf-8"?>
<sst xmlns="http://schemas.openxmlformats.org/spreadsheetml/2006/main" count="1045" uniqueCount="617">
  <si>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</si>
  <si>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</si>
  <si>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</si>
  <si>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</si>
  <si>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</si>
  <si>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</si>
  <si>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</si>
  <si>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H_16-0403</t>
  </si>
  <si>
    <t xml:space="preserve">         (идентификатор инвестиционного проекта)</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</si>
  <si>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</si>
  <si>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</si>
  <si>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</si>
  <si>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</si>
  <si>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</si>
  <si>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</si>
  <si>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</si>
  <si>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</si>
  <si>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Реконструкция линий электропередачи</t>
  </si>
  <si>
    <t>2</t>
  </si>
  <si>
    <t>Цели (указать укрупненные цели в соответствии с приложением 1)</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</si>
  <si>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</si>
  <si>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</si>
  <si>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</si>
  <si>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</si>
  <si>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</si>
  <si>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</si>
  <si>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</si>
  <si>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</si>
  <si>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</si>
  <si>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Зеленоградский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</si>
  <si>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</si>
  <si>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</si>
  <si>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</si>
  <si>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</si>
  <si>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</si>
  <si>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</si>
  <si>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</si>
  <si>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</si>
  <si>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</si>
  <si>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</si>
  <si>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</si>
  <si>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</si>
  <si>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</si>
  <si>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</si>
  <si>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</si>
  <si>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</si>
  <si>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</si>
  <si>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</si>
  <si>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 xml:space="preserve">не требуется </t>
  </si>
  <si>
    <t>14</t>
  </si>
  <si>
    <t>Наличие положительного заключения экспертизы проектной документации</t>
  </si>
  <si>
    <t>15</t>
  </si>
  <si>
    <t>Наличие утвержденной проектной документации</t>
  </si>
  <si>
    <t>да</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</si>
  <si>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</si>
  <si>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</si>
  <si>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</si>
  <si>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</si>
  <si>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r>
      <t>L</t>
    </r>
    <r>
      <rPr>
        <vertAlign val="superscript"/>
        <sz val="11"/>
        <color theme="1"/>
        <rFont val="Calibri"/>
        <family val="2"/>
        <charset val="204"/>
        <scheme val="minor"/>
      </rPr>
      <t>15</t>
    </r>
    <r>
      <rPr>
        <sz val="11"/>
        <color theme="1"/>
        <rFont val="Calibri"/>
        <family val="2"/>
        <charset val="204"/>
        <scheme val="minor"/>
      </rPr>
      <t>з_лэп=7,063 км;
DПsaidi=-0,000276, DПsaifi=-0,000098;
Повышение Индекса состояния до 80,0</t>
    </r>
  </si>
  <si>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</si>
  <si>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</si>
  <si>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</si>
  <si>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</si>
  <si>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</si>
  <si>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</si>
  <si>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</si>
  <si>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</si>
  <si>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</si>
  <si>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</si>
  <si>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</si>
  <si>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</si>
  <si>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</si>
  <si>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</si>
  <si>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</si>
  <si>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</si>
  <si>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</si>
  <si>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</si>
  <si>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</si>
  <si>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</si>
  <si>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</si>
  <si>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</si>
  <si>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</si>
  <si>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</si>
  <si>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</si>
  <si>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</si>
  <si>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</si>
  <si>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</si>
  <si>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</si>
  <si>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</si>
  <si>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</si>
  <si>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</si>
  <si>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</si>
  <si>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</si>
  <si>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</si>
  <si>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</si>
  <si>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</si>
  <si>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</si>
  <si>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</si>
  <si>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</si>
  <si>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</si>
  <si>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</si>
  <si>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</si>
  <si>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</si>
  <si>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</si>
  <si>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</si>
  <si>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</si>
  <si>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</si>
  <si>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</si>
  <si>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</si>
  <si>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</si>
  <si>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</si>
  <si>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</si>
  <si>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</si>
  <si>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</si>
  <si>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</si>
  <si>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</si>
  <si>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</si>
  <si>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</si>
  <si>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</si>
  <si>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</si>
  <si>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</si>
  <si>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</si>
  <si>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</si>
  <si>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</si>
  <si>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</si>
  <si>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</si>
  <si>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</si>
  <si>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</si>
  <si>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</si>
  <si>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</si>
  <si>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</si>
  <si>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</si>
  <si>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</si>
  <si>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</si>
  <si>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</si>
  <si>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</si>
  <si>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</si>
  <si>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</si>
  <si>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</si>
  <si>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</si>
  <si>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</si>
  <si>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</si>
  <si>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15 кВ 15-50</t>
  </si>
  <si>
    <t>оп.87-90, 120-219</t>
  </si>
  <si>
    <t>ВЛ</t>
  </si>
  <si>
    <t>ж/б</t>
  </si>
  <si>
    <t>Акт от 02.06.2014,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</si>
  <si>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</si>
  <si>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</si>
  <si>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</si>
  <si>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</si>
  <si>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</si>
  <si>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</si>
  <si>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Описание конкретных результатов реализации инвестиционного проекта</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</si>
  <si>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63 года. Увеличение пропускной способности ВЛ 15 кВ протяженностью 7,06 км  с увеличением сечения провода с  35 мм2 до 70 мм2. 
Повышен индекс технического состояния до 80. 
Повышение надежности оказываемых услуг в сфере электроэнергетики 
DПsaidi=-0,000276, DПsaifi=-0,000098</t>
  </si>
  <si>
    <t>Описание состава объектов ивнестиционной деятельности их количества и характеристик в отношении каждого такого объекта</t>
  </si>
  <si>
    <t>Реконструкция ВЛ 15-50 (инв.№ 5113981) с заменой неизолированного провода на СИП-3х70 протяженностью 7,063 км с заменой ж/б опор со сроком эксплуатации более 60 лет в Зеленоградском районе</t>
  </si>
  <si>
    <t>Удельные стоимостные показатели реализации инвестиционного проекта</t>
  </si>
  <si>
    <t>ВЛ 2,23 млн рублей/км</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</si>
  <si>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</si>
  <si>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</si>
  <si>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 xml:space="preserve">Акт технического обследования АО "Янтарьэнерго" от 20.06.2017 - Выявлены следующие дефекты: провод не соответствует нагрузке, разрушение/излом стоек, превышен срок эксплуатации, высокий износ. Требуется проведение комплексной реконструкции;
Программа энергосбережения и повышения энергетической эффективности АО «Россети Янтарь» на период 2023-2027 гг., утв. Советом директоров (протокол от 23.03.2023 № 23);
Индекс технического состояния 56,12. 
Техническое задание № 26.СЭРС.2016/ЗЭС-24.
Из-за невыполнения плана 2023 года срок реализации проекта перенесен на 2024 год. Невыполнение плана 2023 года обусловлено нарушением сроков выполнения работ подрядной организацией. Ведется претензионная работа.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</si>
  <si>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</si>
  <si>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</si>
  <si>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</si>
  <si>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</si>
  <si>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</si>
  <si>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</si>
  <si>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</si>
  <si>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</si>
  <si>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</si>
  <si>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</si>
  <si>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</si>
  <si>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</si>
  <si>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</si>
  <si>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</si>
  <si>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</si>
  <si>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</si>
  <si>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</si>
  <si>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</si>
  <si>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</si>
  <si>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</si>
  <si>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</si>
  <si>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</si>
  <si>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</si>
  <si>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</si>
  <si>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</si>
  <si>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</si>
  <si>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</si>
  <si>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</si>
  <si>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</si>
  <si>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</si>
  <si>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</si>
  <si>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2015 году, в том числе:</t>
  </si>
  <si>
    <t>ВЛ 15-50</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</si>
  <si>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</si>
  <si>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</si>
  <si>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</si>
  <si>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34586104 0811151426380</t>
  </si>
  <si>
    <t>3.4.12.2.3,     4.13</t>
  </si>
  <si>
    <t>34586104 3110150113367</t>
  </si>
  <si>
    <t>3.4.12.2.3,     4.12</t>
  </si>
  <si>
    <t>34586104 2708152333351</t>
  </si>
  <si>
    <t>3.4.7.3.5,     4.13</t>
  </si>
  <si>
    <t>34586104 0608150829346</t>
  </si>
  <si>
    <t>34586104 1101150527233</t>
  </si>
  <si>
    <t>3.4.12.2,     4.21</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</si>
  <si>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</si>
  <si>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</si>
  <si>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</si>
  <si>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</si>
  <si>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</si>
  <si>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</si>
  <si>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</si>
  <si>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</si>
  <si>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</si>
  <si>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</si>
  <si>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</si>
  <si>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</si>
  <si>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</si>
  <si>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</si>
  <si>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</si>
  <si>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</si>
  <si>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</si>
  <si>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</si>
  <si>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</si>
  <si>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</si>
  <si>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</si>
  <si>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</si>
  <si>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</si>
  <si>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</si>
  <si>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</si>
  <si>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</si>
  <si>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</si>
  <si>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</si>
  <si>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</si>
  <si>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</si>
  <si>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</si>
  <si>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</si>
  <si>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</si>
  <si>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</si>
  <si>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</si>
  <si>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</si>
  <si>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</si>
  <si>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</si>
  <si>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</si>
  <si>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</si>
  <si>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</si>
  <si>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</si>
  <si>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</si>
  <si>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</si>
  <si>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</si>
  <si>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</si>
  <si>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</si>
  <si>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</si>
  <si>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</si>
  <si>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</si>
  <si>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</si>
  <si>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</si>
  <si>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</si>
  <si>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</si>
  <si>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</si>
  <si>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</si>
  <si>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</si>
  <si>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</si>
  <si>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</si>
  <si>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</si>
  <si>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</si>
  <si>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</si>
  <si>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</si>
  <si>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</si>
  <si>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</si>
  <si>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</si>
  <si>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</si>
  <si>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</si>
  <si>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</si>
  <si>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</si>
  <si>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</si>
  <si>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</si>
  <si>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</si>
  <si>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</si>
  <si>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</si>
  <si>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</si>
  <si>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</si>
  <si>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</si>
  <si>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</si>
  <si>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</si>
  <si>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текущего  года</t>
  </si>
  <si>
    <t>Увеличение дохода от уменьшение потерь ээ, руб. в ценах текущего  года</t>
  </si>
  <si>
    <t>прирост МВт, накопительно</t>
  </si>
  <si>
    <t>коэф перевода МВА в МВт</t>
  </si>
  <si>
    <t>ЧЧИ</t>
  </si>
  <si>
    <t>тариф, руб/ тыс.кВтч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</si>
  <si>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</si>
  <si>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</si>
  <si>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</si>
  <si>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</si>
  <si>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</si>
  <si>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увеличения пропускной способности (сечения провода), тыс. КВтч</t>
  </si>
  <si>
    <t>МВт</t>
  </si>
  <si>
    <t>Прирост за счет замены тр-ра</t>
  </si>
  <si>
    <t>Объем заявок на ТП</t>
  </si>
  <si>
    <t>Исходные данные для прироста мощности</t>
  </si>
  <si>
    <t>сметная стоимость, млн рублей с НДС</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</si>
  <si>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</si>
  <si>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</si>
  <si>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</si>
  <si>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</si>
  <si>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</si>
  <si>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</si>
  <si>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</si>
  <si>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</si>
  <si>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</si>
  <si>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</si>
  <si>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</si>
  <si>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</si>
  <si>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</si>
  <si>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</si>
  <si>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</si>
  <si>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</si>
  <si>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</si>
  <si>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</si>
  <si>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</si>
  <si>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</si>
  <si>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</si>
  <si>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</si>
  <si>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</si>
  <si>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</si>
  <si>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</si>
  <si>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</si>
  <si>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</si>
  <si>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</si>
  <si>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</si>
  <si>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</si>
  <si>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</si>
  <si>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</si>
  <si>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</si>
  <si>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</si>
  <si>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</si>
  <si>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</si>
  <si>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</si>
  <si>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</si>
  <si>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</si>
  <si>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08.02.2019 
08.06.2022</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</si>
  <si>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</si>
  <si>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</si>
  <si>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</si>
  <si>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</si>
  <si>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</si>
  <si>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</si>
  <si>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</si>
  <si>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</si>
  <si>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13.05.2019 
16.06.2022</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</si>
  <si>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</si>
  <si>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</si>
  <si>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</si>
  <si>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</si>
  <si>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</si>
  <si>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</si>
  <si>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</si>
  <si>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</si>
  <si>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</si>
  <si>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</si>
  <si>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</si>
  <si>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</si>
  <si>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</si>
  <si>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</si>
  <si>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</si>
  <si>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</si>
  <si>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</si>
  <si>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</si>
  <si>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</si>
  <si>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</si>
  <si>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</si>
  <si>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</si>
  <si>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</si>
  <si>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</si>
  <si>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</si>
  <si>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</si>
  <si>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</si>
  <si>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</si>
  <si>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</si>
  <si>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</si>
  <si>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</si>
  <si>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</si>
  <si>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</si>
  <si>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</si>
  <si>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</si>
  <si>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</si>
  <si>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</si>
  <si>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</si>
  <si>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</si>
  <si>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</si>
  <si>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</si>
  <si>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</si>
  <si>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</si>
  <si>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</si>
  <si>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</si>
  <si>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</si>
  <si>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</si>
  <si>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</si>
  <si>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</si>
  <si>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</si>
  <si>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</si>
  <si>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</si>
  <si>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</si>
  <si>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</si>
  <si>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</si>
  <si>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</si>
  <si>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</si>
  <si>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</si>
  <si>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</si>
  <si>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</si>
  <si>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</si>
  <si>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</si>
  <si>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</si>
  <si>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</si>
  <si>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</si>
  <si>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</si>
  <si>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</si>
  <si>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</si>
  <si>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</si>
  <si>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</si>
  <si>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</si>
  <si>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</si>
  <si>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</si>
  <si>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</si>
  <si>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</si>
  <si>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</si>
  <si>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</si>
  <si>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</si>
  <si>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</si>
  <si>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</si>
  <si>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</si>
  <si>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</si>
  <si>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</si>
  <si>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</si>
  <si>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</si>
  <si>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</si>
  <si>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</si>
  <si>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</si>
  <si>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</si>
  <si>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</si>
  <si>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</si>
  <si>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</si>
  <si>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</si>
  <si>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</si>
  <si>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</si>
  <si>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</si>
  <si>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</si>
  <si>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</si>
  <si>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</si>
  <si>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</si>
  <si>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</si>
  <si>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</si>
  <si>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</si>
  <si>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</si>
  <si>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</si>
  <si>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</si>
  <si>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</si>
  <si>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</si>
  <si>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</si>
  <si>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</si>
  <si>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</si>
  <si>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</si>
  <si>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</si>
  <si>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</si>
  <si>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</si>
  <si>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</si>
  <si>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</si>
  <si>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</si>
  <si>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</si>
  <si>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</si>
  <si>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</si>
  <si>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</si>
  <si>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</si>
  <si>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</si>
  <si>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</si>
  <si>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</si>
  <si>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</si>
  <si>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</si>
  <si>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</si>
  <si>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</si>
  <si>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</si>
  <si>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</si>
  <si>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</si>
  <si>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</si>
  <si>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</si>
  <si>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</si>
  <si>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</si>
  <si>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</si>
  <si>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</si>
  <si>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</si>
  <si>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</si>
  <si>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</si>
  <si>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</si>
  <si>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</si>
  <si>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</si>
  <si>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</si>
  <si>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</si>
  <si>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</si>
  <si>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</si>
  <si>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</si>
  <si>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</si>
  <si>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</si>
  <si>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</si>
  <si>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</si>
  <si>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</si>
  <si>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</si>
  <si>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</si>
  <si>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</si>
  <si>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</si>
  <si>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</si>
  <si>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</si>
  <si>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</si>
  <si>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"Янтарьэнерго"/ ДКС</t>
  </si>
  <si>
    <t>ПИР</t>
  </si>
  <si>
    <t>Выполнение ПИР по объекту "Реконструкция ВЛ 15-50 (инв.№ 5113981) с заменой неизолированного провода на СИП-3х70 протяженностью 9,01 км с заменой ж/б опор со сроком эксплуатации более 60 лет в Зеленоградском районе"</t>
  </si>
  <si>
    <t>АО "Янтарьэнерго"</t>
  </si>
  <si>
    <t>УР</t>
  </si>
  <si>
    <t>ВЗ</t>
  </si>
  <si>
    <t>ОЗП</t>
  </si>
  <si>
    <t>"Электроналадка" ООО</t>
  </si>
  <si>
    <t>1о</t>
  </si>
  <si>
    <t xml:space="preserve"> 31807157804 </t>
  </si>
  <si>
    <t>roseltorg.ru</t>
  </si>
  <si>
    <t>НДС не предусмотрен</t>
  </si>
  <si>
    <t>"НВП-ЭНЕРГО" ООО</t>
  </si>
  <si>
    <t>"ЭНЕРГОПРОЕКТ" ООО</t>
  </si>
  <si>
    <t>СМР</t>
  </si>
  <si>
    <t>Выполнение работ по титулу: "Реконструкция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</si>
  <si>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10 083,33</t>
  </si>
  <si>
    <t>ПСД</t>
  </si>
  <si>
    <t>ОК</t>
  </si>
  <si>
    <t>0</t>
  </si>
  <si>
    <t>32110412348</t>
  </si>
  <si>
    <t xml:space="preserve">https://rosseti.roseltorg.ru/ </t>
  </si>
  <si>
    <t>02.07.2021</t>
  </si>
  <si>
    <t>22.07.2021</t>
  </si>
  <si>
    <t>7.5.1 а (0) - конкурс признан несостоявшимся</t>
  </si>
  <si>
    <t>АО "Россети Янтарь"</t>
  </si>
  <si>
    <t>Корректировка сметной документации по объектам ПИР 6.15и</t>
  </si>
  <si>
    <t>СЦ</t>
  </si>
  <si>
    <t>"ТК-ЭНЕРГОСТРОЙ" ООО</t>
  </si>
  <si>
    <t>"Монтаж Электро Строй" ООО</t>
  </si>
  <si>
    <t>Выполнение строительно - монтажных работ с поставкой оборудования по объектам «Реконструкций ВЛ 0,4 кВ, ВЛ 15 кВ, согласно приложению, СМР 6.16н»</t>
  </si>
  <si>
    <t>ООО «ЭЛПРОЕКТ»</t>
  </si>
  <si>
    <t>https://lot-online.ru</t>
  </si>
  <si>
    <t xml:space="preserve">п. 7.5.3 </t>
  </si>
  <si>
    <t>ЦКК</t>
  </si>
  <si>
    <t>26988</t>
  </si>
  <si>
    <t>ДС № 1 от 09.11.2022, ДС № 2 от 24.05.2023</t>
  </si>
  <si>
    <t>ИТОГО</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</si>
  <si>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</si>
  <si>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</si>
  <si>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</si>
  <si>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</si>
  <si>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</si>
  <si>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</si>
  <si>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</si>
  <si>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7,063 км (0)</t>
  </si>
  <si>
    <t>Срок ввода объекта</t>
  </si>
  <si>
    <t>Фактическая стадия реализации проекта на отчётную дату</t>
  </si>
  <si>
    <t>Сметная стоимость проекта в ценах 2025 года с НДС, млн рублей</t>
  </si>
  <si>
    <t>Документ, в соответствии с которым определена стоимость проекта</t>
  </si>
  <si>
    <t>ПСД, утв. приказом № 71 от 16.06.2022</t>
  </si>
  <si>
    <t>Стоимость по результатам проведенных закупок с НДС, млн рублей</t>
  </si>
  <si>
    <t>Объем заключенных на отчётную дату договоров по проекту, млн рублей</t>
  </si>
  <si>
    <t>в том числе</t>
  </si>
  <si>
    <t xml:space="preserve"> - по договорам подряда (в разбивке по каждому подрядчику и по договорам):</t>
  </si>
  <si>
    <t>СМР с поставкой оборудования ООО "Элпроект" договор № 32222617683 от 23.08.2022 (ДС № 1 от 09.11.2022, ДС № 2 от 24.05.2023),  в ценах 2022 года с НДС, млн рублей</t>
  </si>
  <si>
    <t>% от сметной стоимости проекта</t>
  </si>
  <si>
    <t>оплачено по договору, млн рублей</t>
  </si>
  <si>
    <t>освоено по договору, млн рублей</t>
  </si>
  <si>
    <t>объем заключенного договора в ценах ______ года с НДС,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</si>
  <si>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</si>
  <si>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</si>
  <si>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ПИР ООО "Электроналадка" договор № 74 от 08.02.2019 в ценах 2019 года без НДС, млн рублей</t>
  </si>
  <si>
    <t>корректировка СД - ООО "Электроналадка" договор №09/06-6.15н от 08.06.2022 в ценах 2022 года без НДС, млн рублей</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</si>
  <si>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</si>
  <si>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</si>
  <si>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</si>
  <si>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</si>
  <si>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</si>
  <si>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Содержание заказчика- застройщика в ценах 2021 года с НДС, млн рублей</t>
  </si>
  <si>
    <t>Содержание заказчика- застройщика в ценах 2025 года с НДС, млн рублей</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</si>
  <si>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</si>
  <si>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</si>
  <si>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</si>
  <si>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</si>
  <si>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</si>
  <si>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</si>
  <si>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</si>
  <si>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</si>
  <si>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ПИР ООО "Электроналадка" договор № 74 от 08.02.2019, корректировка СД - ООО "Электроналадка" договор №09/06-6.15н от 08.06.2022</t>
  </si>
  <si>
    <t>- технические агенты</t>
  </si>
  <si>
    <t>- подрядчики</t>
  </si>
  <si>
    <t>СМР с поставкой оборудования ООО "Элпроект" договор № 32222617683 от 23.08.2022 (ДС № 1 от 09.11.2022, ДС № 2 от 24.05.2023)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</si>
  <si>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</si>
  <si>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</si>
  <si>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</si>
  <si>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</si>
  <si>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</si>
  <si>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</si>
  <si>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</si>
  <si>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</si>
  <si>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</si>
  <si>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</si>
  <si>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</si>
  <si>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</si>
  <si>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Факты и события, влияющие на ход реализации проекта, проблемные вопросы:</t>
  </si>
  <si>
    <t>В адрес ООО "Элпроект" направлена претензия об оплате пени за нарушение обязательств по договору исх.№ ЯЭ-60-1297 от 12.10.2023</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</si>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</sst>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0_ ;\-#,##0\ "/>
    <numFmt numFmtId="166" formatCode="_-* #,##0.00\ _р_._-;\-* #,##0.00\ _р_._-;_-* &quot;-&quot;??\ _р_._-;_-@_-"/>
    <numFmt numFmtId="167" formatCode="_-* #,##0_р_._-;\-* #,##0_р_._-;_-* &quot;-&quot;_р_._-;_-@_-"/>
    <numFmt numFmtId="168" formatCode="0.000"/>
    <numFmt numFmtId="169" formatCode="0.000000000"/>
    <numFmt numFmtId="170" formatCode="0.000%"/>
    <numFmt numFmtId="171" formatCode="#,##0.0"/>
    <numFmt numFmtId="172" formatCode="#,##0.0000"/>
    <numFmt numFmtId="173" formatCode="0.0%"/>
    <numFmt numFmtId="174" formatCode="_(* #,##0.00_);_(* \(#,##0.00\);_(* &quot;-&quot;_);_(@_)"/>
    <numFmt numFmtId="175" formatCode="_(* #,##0_);_(* \(#,##0\);_(* &quot;-&quot;_);_(@_)"/>
    <numFmt numFmtId="176" formatCode="######0.0#####"/>
    <numFmt numFmtId="177" formatCode="#,##0.00_ ;\-#,##0.00\ "/>
    <numFmt numFmtId="178" formatCode="0.0"/>
  </numFmts>
  <fonts count="74"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name val="Times New Roman"/>
      <family val="1"/>
      <charset val="204"/>
    </font>
    <font>
      <sz val="14"/>
      <color theme="1"/>
      <name val="Times New Roman"/>
      <family val="1"/>
      <charset val="204"/>
    </font>
    <font>
      <sz val="9"/>
      <color theme="1"/>
      <name val="Times New Roman"/>
      <family val="1"/>
      <charset val="204"/>
    </font>
    <font>
      <b/>
      <u/>
      <sz val="12"/>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1"/>
      <color theme="1"/>
      <name val="Times New Roman"/>
      <family val="1"/>
      <charset val="204"/>
    </font>
    <font>
      <sz val="11"/>
      <name val="Calibri"/>
      <family val="2"/>
      <charset val="204"/>
      <scheme val="minor"/>
    </font>
    <font>
      <sz val="10"/>
      <color theme="1"/>
      <name val="Arial Cyr"/>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sz val="9"/>
      <name val="Times New Roman"/>
      <family val="1"/>
      <charset val="204"/>
    </font>
    <font>
      <sz val="10"/>
      <color theme="0" tint="-0.249977111117893"/>
      <name val="Arial Cyr"/>
    </font>
    <font>
      <sz val="12"/>
      <color indexed="64"/>
      <name val="Times New Roman"/>
      <family val="1"/>
      <charset val="204"/>
    </font>
    <font>
      <sz val="11"/>
      <color indexed="64"/>
      <name val="Times New Roman"/>
      <family val="1"/>
      <charset val="204"/>
    </font>
    <font>
      <sz val="10"/>
      <color indexed="64"/>
      <name val="Arial Cyr"/>
    </font>
    <font>
      <b/>
      <sz val="14"/>
      <name val="Times New Roman"/>
      <family val="1"/>
      <charset val="204"/>
    </font>
    <font>
      <b/>
      <sz val="8"/>
      <color theme="1"/>
      <name val="Times New Roman"/>
      <family val="1"/>
      <charset val="204"/>
    </font>
    <font>
      <b/>
      <sz val="12"/>
      <color indexed="64"/>
      <name val="Times New Roman"/>
      <family val="1"/>
      <charset val="204"/>
    </font>
    <font>
      <sz val="8"/>
      <color theme="1"/>
      <name val="Times New Roman"/>
      <family val="1"/>
      <charset val="204"/>
    </font>
    <font>
      <b/>
      <u/>
      <sz val="11"/>
      <color theme="1"/>
      <name val="Times New Roman"/>
      <family val="1"/>
      <charset val="204"/>
    </font>
    <font>
      <u/>
      <sz val="12"/>
      <name val="Times New Roman"/>
      <family val="1"/>
      <charset val="204"/>
    </font>
    <font>
      <sz val="11"/>
      <color theme="1"/>
      <name val="Calibri"/>
      <family val="2"/>
      <charset val="204"/>
      <scheme val="minor"/>
    </font>
    <font>
      <vertAlign val="superscrip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vertAlign val="superscript"/>
      <sz val="12"/>
      <name val="Times New Roman"/>
      <family val="1"/>
      <charset val="204"/>
    </font>
    <font>
      <b/>
      <sz val="9"/>
      <name val="Tahoma"/>
      <family val="2"/>
      <charset val="204"/>
    </font>
    <font>
      <sz val="9"/>
      <name val="Tahoma"/>
      <family val="2"/>
      <charset val="204"/>
    </font>
  </fonts>
  <fills count="33">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rgb="FFFC82E2"/>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rgb="FFE6B8B7"/>
        <bgColor indexed="64"/>
      </patternFill>
    </fill>
    <fill>
      <patternFill patternType="solid">
        <fgColor theme="7" tint="0.79998168889431442"/>
        <bgColor indexed="64"/>
      </patternFill>
    </fill>
    <fill>
      <patternFill patternType="solid">
        <fgColor theme="5" tint="0.59999389629810485"/>
        <bgColor theme="5" tint="0.59999389629810485"/>
      </patternFill>
    </fill>
    <fill>
      <patternFill patternType="solid">
        <fgColor theme="0" tint="-4.9989318521683403E-2"/>
        <bgColor theme="0" tint="-4.9989318521683403E-2"/>
      </patternFill>
    </fill>
    <fill>
      <patternFill patternType="solid">
        <fgColor theme="7" tint="0.79998168889431442"/>
        <bgColor theme="7" tint="0.79998168889431442"/>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s>
  <cellStyleXfs count="7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66" fillId="0" borderId="0"/>
    <xf numFmtId="0" fontId="66" fillId="0" borderId="0"/>
    <xf numFmtId="0" fontId="66" fillId="0" borderId="0"/>
    <xf numFmtId="0" fontId="66" fillId="0" borderId="0"/>
    <xf numFmtId="0" fontId="66" fillId="0" borderId="0"/>
    <xf numFmtId="0" fontId="66"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66" fillId="0" borderId="0" applyFont="0" applyFill="0" applyBorder="0" applyProtection="0"/>
    <xf numFmtId="164" fontId="66" fillId="0" borderId="0" applyFont="0" applyFill="0" applyBorder="0" applyProtection="0"/>
    <xf numFmtId="165" fontId="4" fillId="0" borderId="0" applyFont="0" applyFill="0" applyBorder="0" applyProtection="0"/>
    <xf numFmtId="166" fontId="66" fillId="0" borderId="0" applyFont="0" applyFill="0" applyBorder="0" applyProtection="0"/>
    <xf numFmtId="0" fontId="23" fillId="4" borderId="0" applyNumberFormat="0" applyBorder="0" applyProtection="0"/>
  </cellStyleXfs>
  <cellXfs count="427">
    <xf numFmtId="0" fontId="0" fillId="0" borderId="0" xfId="0"/>
    <xf numFmtId="0" fontId="66"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26" fillId="0" borderId="0" xfId="52" applyFont="1" applyAlignment="1">
      <alignment horizontal="center" vertical="center"/>
    </xf>
    <xf numFmtId="0" fontId="34" fillId="0" borderId="0" xfId="52" applyFont="1" applyAlignment="1">
      <alignment horizontal="center" vertical="center"/>
    </xf>
    <xf numFmtId="0" fontId="35" fillId="0" borderId="0" xfId="52" applyFont="1"/>
    <xf numFmtId="0" fontId="37"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32" fillId="0" borderId="10" xfId="52" applyFont="1" applyBorder="1" applyAlignment="1">
      <alignment horizontal="left" vertical="center" wrapText="1"/>
    </xf>
    <xf numFmtId="0" fontId="32" fillId="0" borderId="11" xfId="52" applyFont="1" applyBorder="1" applyAlignment="1">
      <alignment vertical="center" wrapText="1"/>
    </xf>
    <xf numFmtId="0" fontId="15" fillId="0" borderId="10" xfId="52" applyFont="1" applyBorder="1" applyAlignment="1">
      <alignment horizontal="left" vertical="center" wrapText="1"/>
    </xf>
    <xf numFmtId="0" fontId="15" fillId="0" borderId="0" xfId="0" applyFont="1" applyAlignment="1">
      <alignment horizontal="left" vertical="center"/>
    </xf>
    <xf numFmtId="0" fontId="66" fillId="0" borderId="10" xfId="52" applyBorder="1" applyAlignment="1">
      <alignment vertical="center" wrapText="1"/>
    </xf>
    <xf numFmtId="0" fontId="66" fillId="0" borderId="10" xfId="52" applyBorder="1"/>
    <xf numFmtId="2" fontId="15" fillId="0" borderId="10" xfId="0" applyNumberFormat="1" applyFont="1" applyBorder="1" applyAlignment="1">
      <alignment horizontal="left" vertical="center"/>
    </xf>
    <xf numFmtId="0" fontId="38" fillId="0" borderId="10" xfId="52" applyFont="1" applyBorder="1" applyAlignment="1">
      <alignment horizontal="center" vertical="center" wrapText="1"/>
    </xf>
    <xf numFmtId="0" fontId="39" fillId="0" borderId="10" xfId="41" applyFont="1" applyBorder="1" applyAlignment="1">
      <alignment horizontal="center" vertical="center" wrapText="1"/>
    </xf>
    <xf numFmtId="0" fontId="38" fillId="0" borderId="11" xfId="52" applyFont="1" applyBorder="1" applyAlignment="1">
      <alignment horizontal="center" vertical="center" wrapText="1"/>
    </xf>
    <xf numFmtId="0" fontId="34" fillId="0" borderId="10" xfId="52" applyFont="1" applyBorder="1" applyAlignment="1">
      <alignment horizontal="center" vertical="center" wrapText="1"/>
    </xf>
    <xf numFmtId="168" fontId="34" fillId="0" borderId="10" xfId="52" applyNumberFormat="1" applyFont="1" applyBorder="1" applyAlignment="1">
      <alignment horizontal="center" vertical="center"/>
    </xf>
    <xf numFmtId="0" fontId="40" fillId="0" borderId="10" xfId="52" applyFont="1" applyBorder="1" applyAlignment="1">
      <alignment horizontal="center" vertical="center"/>
    </xf>
    <xf numFmtId="168" fontId="38" fillId="0" borderId="10" xfId="52" applyNumberFormat="1" applyFont="1" applyBorder="1" applyAlignment="1">
      <alignment horizontal="center" vertical="center"/>
    </xf>
    <xf numFmtId="0" fontId="40" fillId="0" borderId="11" xfId="52" applyFont="1" applyBorder="1" applyAlignment="1">
      <alignment horizontal="center" vertical="center"/>
    </xf>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49" fontId="15" fillId="0" borderId="10" xfId="39" applyNumberFormat="1" applyFont="1" applyBorder="1" applyAlignment="1">
      <alignment horizontal="left" vertical="center" wrapText="1"/>
    </xf>
    <xf numFmtId="0" fontId="15" fillId="0" borderId="10" xfId="39" applyFont="1" applyBorder="1" applyAlignment="1">
      <alignment horizontal="left" vertical="center" wrapText="1"/>
    </xf>
    <xf numFmtId="49" fontId="15" fillId="0" borderId="10" xfId="39" applyNumberFormat="1" applyFont="1" applyBorder="1" applyAlignment="1">
      <alignment horizontal="center" vertical="center"/>
    </xf>
    <xf numFmtId="0" fontId="15" fillId="0" borderId="10" xfId="39" applyFont="1" applyBorder="1" applyAlignment="1">
      <alignment horizontal="center" vertical="center"/>
    </xf>
    <xf numFmtId="0" fontId="41" fillId="0" borderId="0" xfId="39" applyFont="1" applyAlignment="1">
      <alignment horizontal="left"/>
    </xf>
    <xf numFmtId="0" fontId="42"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0" fontId="15" fillId="0" borderId="0" xfId="39" applyFont="1" applyAlignment="1">
      <alignment horizontal="center"/>
    </xf>
    <xf numFmtId="0" fontId="43" fillId="0" borderId="15" xfId="0" applyFont="1" applyBorder="1" applyAlignment="1">
      <alignment horizontal="center" vertical="center" wrapText="1"/>
    </xf>
    <xf numFmtId="0" fontId="15" fillId="0" borderId="10" xfId="39" applyFont="1" applyBorder="1" applyAlignment="1">
      <alignment horizontal="center" vertical="center" wrapText="1"/>
    </xf>
    <xf numFmtId="168" fontId="15" fillId="0" borderId="15" xfId="39" applyNumberFormat="1" applyFont="1" applyBorder="1" applyAlignment="1">
      <alignment horizontal="center" vertical="center" wrapText="1"/>
    </xf>
    <xf numFmtId="168" fontId="15" fillId="0" borderId="10" xfId="39" applyNumberFormat="1" applyFont="1" applyBorder="1" applyAlignment="1">
      <alignment horizontal="center" vertical="center" wrapText="1"/>
    </xf>
    <xf numFmtId="0" fontId="28" fillId="0" borderId="0" xfId="0" applyFont="1" applyAlignment="1">
      <alignment vertical="center"/>
    </xf>
    <xf numFmtId="0" fontId="15" fillId="0" borderId="11" xfId="41" applyFont="1" applyBorder="1" applyAlignment="1">
      <alignment vertical="center" wrapText="1"/>
    </xf>
    <xf numFmtId="1" fontId="15" fillId="24" borderId="10" xfId="39" applyNumberFormat="1" applyFont="1" applyFill="1" applyBorder="1" applyAlignment="1">
      <alignment horizontal="left" vertical="center" wrapText="1"/>
    </xf>
    <xf numFmtId="0" fontId="15" fillId="0" borderId="10" xfId="52" applyFont="1" applyBorder="1" applyAlignment="1">
      <alignment vertical="center" wrapText="1"/>
    </xf>
    <xf numFmtId="0" fontId="34" fillId="0" borderId="0" xfId="52" applyFont="1" applyAlignment="1">
      <alignment vertical="center"/>
    </xf>
    <xf numFmtId="0" fontId="43" fillId="0" borderId="0" xfId="51" applyFont="1"/>
    <xf numFmtId="0" fontId="39" fillId="0" borderId="0" xfId="51"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44" fillId="0" borderId="10" xfId="0" applyFont="1" applyBorder="1" applyAlignment="1">
      <alignment wrapText="1"/>
    </xf>
    <xf numFmtId="0" fontId="44" fillId="0" borderId="10" xfId="0" applyFont="1" applyBorder="1"/>
    <xf numFmtId="0" fontId="44" fillId="0" borderId="10" xfId="0" applyFont="1" applyBorder="1" applyAlignment="1">
      <alignment horizontal="center" vertical="center"/>
    </xf>
    <xf numFmtId="0" fontId="44" fillId="0" borderId="13" xfId="0" applyFont="1" applyBorder="1" applyAlignment="1">
      <alignment horizontal="center" vertical="center"/>
    </xf>
    <xf numFmtId="169" fontId="44" fillId="0" borderId="10" xfId="0" applyNumberFormat="1" applyFont="1" applyBorder="1" applyAlignment="1">
      <alignment horizontal="center" vertical="center"/>
    </xf>
    <xf numFmtId="49" fontId="0" fillId="0" borderId="10" xfId="0" applyNumberFormat="1" applyBorder="1" applyAlignment="1">
      <alignment horizontal="center" vertical="center" wrapText="1"/>
    </xf>
    <xf numFmtId="0" fontId="0" fillId="0" borderId="10" xfId="0" applyBorder="1" applyAlignment="1">
      <alignment horizontal="center" vertical="center" wrapText="1"/>
    </xf>
    <xf numFmtId="49" fontId="40" fillId="0" borderId="10" xfId="0" applyNumberFormat="1" applyFont="1" applyBorder="1" applyAlignment="1">
      <alignment horizontal="center" vertical="center" wrapText="1"/>
    </xf>
    <xf numFmtId="0" fontId="0" fillId="0" borderId="10" xfId="0" applyBorder="1" applyAlignment="1">
      <alignment horizontal="center" vertical="center"/>
    </xf>
    <xf numFmtId="0" fontId="0" fillId="0" borderId="10" xfId="0" applyBorder="1"/>
    <xf numFmtId="0" fontId="40" fillId="0" borderId="0" xfId="0" applyFont="1"/>
    <xf numFmtId="49" fontId="32" fillId="0" borderId="11" xfId="52" applyNumberFormat="1" applyFont="1" applyBorder="1" applyAlignment="1">
      <alignment vertical="center"/>
    </xf>
    <xf numFmtId="0" fontId="15" fillId="0" borderId="10" xfId="52" applyFont="1" applyBorder="1" applyAlignment="1">
      <alignment vertical="center"/>
    </xf>
    <xf numFmtId="0" fontId="45" fillId="0" borderId="0" xfId="39" applyFont="1"/>
    <xf numFmtId="0" fontId="32" fillId="0" borderId="0" xfId="55" applyFont="1" applyAlignment="1">
      <alignment vertical="center" wrapText="1"/>
    </xf>
    <xf numFmtId="0" fontId="32" fillId="0" borderId="0" xfId="55" applyFont="1" applyAlignment="1">
      <alignment vertical="center"/>
    </xf>
    <xf numFmtId="0" fontId="28" fillId="0" borderId="0" xfId="53" applyFont="1" applyAlignment="1">
      <alignment vertical="center"/>
    </xf>
    <xf numFmtId="0" fontId="39" fillId="0" borderId="0" xfId="55" applyFont="1" applyAlignment="1">
      <alignment vertical="center" wrapText="1"/>
    </xf>
    <xf numFmtId="0" fontId="32" fillId="0" borderId="0" xfId="55" applyFont="1" applyAlignment="1">
      <alignment horizontal="right" vertical="center"/>
    </xf>
    <xf numFmtId="0" fontId="39" fillId="0" borderId="0" xfId="55" applyFont="1" applyAlignment="1">
      <alignment vertical="center"/>
    </xf>
    <xf numFmtId="0" fontId="39" fillId="0" borderId="0" xfId="55" applyFont="1" applyAlignment="1">
      <alignment horizontal="center" vertical="center" wrapText="1"/>
    </xf>
    <xf numFmtId="0" fontId="39" fillId="0" borderId="0" xfId="55" applyFont="1" applyAlignment="1">
      <alignment horizontal="center" vertical="center"/>
    </xf>
    <xf numFmtId="0" fontId="46" fillId="0" borderId="0" xfId="55" applyFont="1" applyAlignment="1">
      <alignment horizontal="left" vertical="center"/>
    </xf>
    <xf numFmtId="0" fontId="47" fillId="0" borderId="0" xfId="55" applyFont="1" applyAlignment="1">
      <alignment vertical="center"/>
    </xf>
    <xf numFmtId="0" fontId="32" fillId="0" borderId="22" xfId="55" applyFont="1" applyBorder="1" applyAlignment="1">
      <alignment vertical="center" wrapText="1"/>
    </xf>
    <xf numFmtId="3" fontId="43" fillId="0" borderId="23" xfId="55" applyNumberFormat="1" applyFont="1" applyBorder="1" applyAlignment="1">
      <alignment vertical="center"/>
    </xf>
    <xf numFmtId="0" fontId="32" fillId="0" borderId="24" xfId="55" applyFont="1" applyBorder="1" applyAlignment="1">
      <alignment vertical="center" wrapText="1"/>
    </xf>
    <xf numFmtId="3" fontId="43" fillId="0" borderId="25" xfId="55" applyNumberFormat="1" applyFont="1" applyBorder="1" applyAlignment="1">
      <alignment vertical="center"/>
    </xf>
    <xf numFmtId="0" fontId="32" fillId="0" borderId="26" xfId="55" applyFont="1" applyBorder="1" applyAlignment="1">
      <alignment vertical="center" wrapText="1"/>
    </xf>
    <xf numFmtId="3" fontId="43" fillId="0" borderId="27" xfId="55" applyNumberFormat="1" applyFont="1" applyBorder="1" applyAlignment="1">
      <alignment vertical="center"/>
    </xf>
    <xf numFmtId="0" fontId="48" fillId="0" borderId="28" xfId="55" applyFont="1" applyBorder="1" applyAlignment="1">
      <alignment vertical="center" wrapText="1"/>
    </xf>
    <xf numFmtId="10" fontId="43" fillId="0" borderId="27" xfId="55" applyNumberFormat="1" applyFont="1" applyBorder="1" applyAlignment="1">
      <alignment vertical="center"/>
    </xf>
    <xf numFmtId="0" fontId="32" fillId="0" borderId="28" xfId="55" applyFont="1" applyBorder="1" applyAlignment="1">
      <alignment vertical="center" wrapText="1"/>
    </xf>
    <xf numFmtId="9" fontId="43" fillId="0" borderId="29" xfId="55" applyNumberFormat="1" applyFont="1" applyBorder="1" applyAlignment="1">
      <alignment vertical="center"/>
    </xf>
    <xf numFmtId="0" fontId="32" fillId="0" borderId="30" xfId="55" applyFont="1" applyBorder="1" applyAlignment="1">
      <alignment vertical="center" wrapText="1"/>
    </xf>
    <xf numFmtId="3" fontId="43" fillId="0" borderId="22" xfId="55" applyNumberFormat="1" applyFont="1" applyBorder="1" applyAlignment="1">
      <alignment vertical="center"/>
    </xf>
    <xf numFmtId="0" fontId="32" fillId="0" borderId="31" xfId="55" applyFont="1" applyBorder="1" applyAlignment="1">
      <alignment vertical="center" wrapText="1"/>
    </xf>
    <xf numFmtId="10" fontId="43" fillId="0" borderId="32" xfId="55" applyNumberFormat="1" applyFont="1" applyBorder="1" applyAlignment="1">
      <alignment vertical="center"/>
    </xf>
    <xf numFmtId="10" fontId="43" fillId="0" borderId="24" xfId="55" applyNumberFormat="1" applyFont="1" applyBorder="1" applyAlignment="1">
      <alignment vertical="center"/>
    </xf>
    <xf numFmtId="0" fontId="32" fillId="0" borderId="33" xfId="55" applyFont="1" applyBorder="1" applyAlignment="1">
      <alignment vertical="center" wrapText="1"/>
    </xf>
    <xf numFmtId="170" fontId="43" fillId="0" borderId="28" xfId="55" applyNumberFormat="1" applyFont="1" applyBorder="1" applyAlignment="1">
      <alignment vertical="center"/>
    </xf>
    <xf numFmtId="0" fontId="49"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43" fillId="0" borderId="10" xfId="55" applyNumberFormat="1" applyFont="1" applyBorder="1" applyAlignment="1">
      <alignment vertical="center"/>
    </xf>
    <xf numFmtId="0" fontId="32" fillId="0" borderId="37" xfId="55" applyFont="1" applyBorder="1" applyAlignment="1">
      <alignment vertical="center" wrapText="1"/>
    </xf>
    <xf numFmtId="3" fontId="43" fillId="0" borderId="38" xfId="55" applyNumberFormat="1" applyFont="1" applyBorder="1" applyAlignment="1">
      <alignment vertical="center"/>
    </xf>
    <xf numFmtId="0" fontId="50"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51" fillId="0" borderId="10" xfId="55" applyNumberFormat="1" applyFont="1" applyBorder="1" applyAlignment="1">
      <alignment vertical="center"/>
    </xf>
    <xf numFmtId="0" fontId="15" fillId="0" borderId="37" xfId="55" applyFont="1" applyBorder="1" applyAlignment="1">
      <alignment vertical="center" wrapText="1"/>
    </xf>
    <xf numFmtId="3" fontId="51" fillId="0" borderId="38" xfId="55" applyNumberFormat="1" applyFont="1" applyBorder="1" applyAlignment="1">
      <alignment vertical="center"/>
    </xf>
    <xf numFmtId="0" fontId="52" fillId="0" borderId="0" xfId="39" applyFont="1"/>
    <xf numFmtId="0" fontId="53" fillId="0" borderId="0" xfId="55" applyFont="1" applyAlignment="1">
      <alignment vertical="center" wrapText="1"/>
    </xf>
    <xf numFmtId="3" fontId="53" fillId="0" borderId="0" xfId="55" applyNumberFormat="1" applyFont="1" applyAlignment="1">
      <alignment horizontal="center" vertical="center"/>
    </xf>
    <xf numFmtId="0" fontId="50" fillId="0" borderId="36" xfId="55" applyFont="1" applyBorder="1" applyAlignment="1">
      <alignment vertical="center" wrapText="1"/>
    </xf>
    <xf numFmtId="3" fontId="50" fillId="0" borderId="10" xfId="55" applyNumberFormat="1" applyFont="1" applyBorder="1" applyAlignment="1">
      <alignment vertical="center"/>
    </xf>
    <xf numFmtId="0" fontId="15" fillId="0" borderId="36" xfId="55" applyFont="1" applyBorder="1" applyAlignment="1">
      <alignment horizontal="left" vertical="center" wrapText="1"/>
    </xf>
    <xf numFmtId="0" fontId="50" fillId="0" borderId="36" xfId="55" applyFont="1" applyBorder="1" applyAlignment="1">
      <alignment horizontal="left" vertical="center" wrapText="1"/>
    </xf>
    <xf numFmtId="0" fontId="15" fillId="0" borderId="0" xfId="55" applyFont="1" applyAlignment="1">
      <alignment vertical="center"/>
    </xf>
    <xf numFmtId="0" fontId="50" fillId="0" borderId="37" xfId="55" applyFont="1" applyBorder="1" applyAlignment="1">
      <alignment horizontal="left" vertical="center" wrapText="1"/>
    </xf>
    <xf numFmtId="3" fontId="50" fillId="0" borderId="38" xfId="55" applyNumberFormat="1" applyFont="1" applyBorder="1" applyAlignment="1">
      <alignment vertical="center"/>
    </xf>
    <xf numFmtId="171" fontId="54" fillId="0" borderId="0" xfId="55" applyNumberFormat="1" applyFont="1" applyAlignment="1">
      <alignment horizontal="center" vertical="center"/>
    </xf>
    <xf numFmtId="172" fontId="51" fillId="0" borderId="10" xfId="55" applyNumberFormat="1" applyFont="1" applyBorder="1" applyAlignment="1">
      <alignment horizontal="center" vertical="center"/>
    </xf>
    <xf numFmtId="173" fontId="50" fillId="0" borderId="10" xfId="55" applyNumberFormat="1" applyFont="1" applyBorder="1" applyAlignment="1">
      <alignment vertical="center"/>
    </xf>
    <xf numFmtId="174" fontId="50" fillId="0" borderId="10" xfId="55" applyNumberFormat="1" applyFont="1" applyBorder="1" applyAlignment="1">
      <alignment vertical="center"/>
    </xf>
    <xf numFmtId="0" fontId="50" fillId="0" borderId="37" xfId="55" applyFont="1" applyBorder="1" applyAlignment="1">
      <alignment vertical="center" wrapText="1"/>
    </xf>
    <xf numFmtId="174" fontId="50" fillId="0" borderId="38" xfId="55" applyNumberFormat="1" applyFont="1" applyBorder="1" applyAlignment="1">
      <alignment vertical="center"/>
    </xf>
    <xf numFmtId="1" fontId="32" fillId="0" borderId="0" xfId="55" applyNumberFormat="1" applyFont="1" applyAlignment="1">
      <alignment vertical="center"/>
    </xf>
    <xf numFmtId="0" fontId="55" fillId="0" borderId="0" xfId="53" applyFont="1" applyAlignment="1">
      <alignment wrapText="1"/>
    </xf>
    <xf numFmtId="0" fontId="55" fillId="0" borderId="0" xfId="53" applyFont="1"/>
    <xf numFmtId="49" fontId="55" fillId="0" borderId="0" xfId="53" applyNumberFormat="1" applyFont="1" applyAlignment="1">
      <alignment vertical="center"/>
    </xf>
    <xf numFmtId="175" fontId="32" fillId="0" borderId="0" xfId="55" applyNumberFormat="1" applyFont="1" applyAlignment="1">
      <alignment vertical="center"/>
    </xf>
    <xf numFmtId="0" fontId="16" fillId="0" borderId="0" xfId="39" applyFont="1" applyAlignment="1">
      <alignment wrapText="1"/>
    </xf>
    <xf numFmtId="0" fontId="16" fillId="0" borderId="0" xfId="39" applyFont="1"/>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56" fillId="0" borderId="0" xfId="39" applyFont="1"/>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4" fontId="16" fillId="25" borderId="10" xfId="39" applyNumberFormat="1" applyFont="1" applyFill="1" applyBorder="1" applyAlignment="1">
      <alignment horizontal="center" vertical="center"/>
    </xf>
    <xf numFmtId="0" fontId="16" fillId="8" borderId="10" xfId="39" applyFont="1" applyFill="1" applyBorder="1" applyAlignment="1">
      <alignment horizontal="center" vertical="center" wrapText="1"/>
    </xf>
    <xf numFmtId="0" fontId="16" fillId="25" borderId="10" xfId="39" applyFont="1" applyFill="1" applyBorder="1" applyAlignment="1">
      <alignment horizontal="center" vertical="center"/>
    </xf>
    <xf numFmtId="9" fontId="0" fillId="0" borderId="10" xfId="62" applyNumberFormat="1" applyFont="1" applyBorder="1" applyAlignment="1">
      <alignment horizontal="left" vertical="center" wrapText="1"/>
    </xf>
    <xf numFmtId="9" fontId="0" fillId="0" borderId="10" xfId="62" applyNumberFormat="1" applyFont="1" applyBorder="1" applyAlignment="1">
      <alignment horizontal="center" vertical="center"/>
    </xf>
    <xf numFmtId="9" fontId="16" fillId="8" borderId="10" xfId="62" applyNumberFormat="1" applyFont="1" applyFill="1" applyBorder="1" applyAlignment="1">
      <alignment horizontal="center" vertical="center"/>
    </xf>
    <xf numFmtId="0" fontId="16" fillId="26"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45" fillId="0" borderId="0" xfId="39" applyFont="1" applyAlignment="1">
      <alignment wrapText="1"/>
    </xf>
    <xf numFmtId="0" fontId="45" fillId="0" borderId="10" xfId="39" applyFont="1" applyBorder="1" applyAlignment="1">
      <alignment wrapText="1"/>
    </xf>
    <xf numFmtId="4" fontId="45" fillId="26" borderId="10" xfId="39" applyNumberFormat="1" applyFont="1" applyFill="1" applyBorder="1" applyAlignment="1">
      <alignment horizontal="center"/>
    </xf>
    <xf numFmtId="0" fontId="47" fillId="27" borderId="0" xfId="55" applyFont="1" applyFill="1" applyAlignment="1">
      <alignment vertical="center"/>
    </xf>
    <xf numFmtId="0" fontId="32" fillId="27" borderId="0" xfId="55" applyFont="1" applyFill="1" applyAlignment="1">
      <alignment vertical="center"/>
    </xf>
    <xf numFmtId="3" fontId="45" fillId="26" borderId="10" xfId="39" applyNumberFormat="1" applyFont="1" applyFill="1" applyBorder="1" applyAlignment="1">
      <alignment horizontal="center"/>
    </xf>
    <xf numFmtId="0" fontId="45" fillId="0" borderId="0" xfId="39" applyFont="1" applyAlignment="1">
      <alignment horizontal="center"/>
    </xf>
    <xf numFmtId="0" fontId="45" fillId="0" borderId="12" xfId="39" applyFont="1" applyBorder="1" applyAlignment="1">
      <alignment wrapText="1"/>
    </xf>
    <xf numFmtId="3" fontId="45" fillId="0" borderId="12" xfId="39" applyNumberFormat="1" applyFont="1" applyBorder="1"/>
    <xf numFmtId="4" fontId="45" fillId="0" borderId="10" xfId="39" applyNumberFormat="1" applyFont="1" applyBorder="1" applyAlignment="1">
      <alignment horizontal="center"/>
    </xf>
    <xf numFmtId="4" fontId="45" fillId="8" borderId="10" xfId="39" applyNumberFormat="1" applyFont="1" applyFill="1" applyBorder="1" applyAlignment="1">
      <alignment horizontal="center"/>
    </xf>
    <xf numFmtId="4" fontId="45" fillId="0" borderId="0" xfId="39" applyNumberFormat="1" applyFont="1" applyAlignment="1">
      <alignment horizontal="center"/>
    </xf>
    <xf numFmtId="10" fontId="45" fillId="8" borderId="10" xfId="39" applyNumberFormat="1" applyFont="1" applyFill="1" applyBorder="1" applyAlignment="1">
      <alignment horizontal="center"/>
    </xf>
    <xf numFmtId="0" fontId="57" fillId="0" borderId="12" xfId="55" applyFont="1" applyBorder="1" applyAlignment="1">
      <alignment vertical="center" wrapText="1"/>
    </xf>
    <xf numFmtId="3" fontId="58" fillId="0" borderId="12" xfId="55" applyNumberFormat="1" applyFont="1" applyBorder="1" applyAlignment="1">
      <alignment horizontal="center" vertical="center"/>
    </xf>
    <xf numFmtId="0" fontId="59" fillId="28" borderId="10" xfId="39" applyFont="1" applyFill="1" applyBorder="1" applyAlignment="1">
      <alignment horizontal="left" vertical="center" wrapText="1"/>
    </xf>
    <xf numFmtId="0" fontId="59" fillId="28" borderId="10" xfId="39" applyFont="1" applyFill="1" applyBorder="1" applyAlignment="1">
      <alignment horizontal="center" wrapText="1"/>
    </xf>
    <xf numFmtId="0" fontId="45" fillId="0" borderId="10" xfId="39" applyFont="1" applyBorder="1"/>
    <xf numFmtId="10" fontId="58" fillId="28" borderId="10" xfId="55" applyNumberFormat="1" applyFont="1" applyFill="1" applyBorder="1" applyAlignment="1">
      <alignment vertical="center"/>
    </xf>
    <xf numFmtId="10" fontId="59" fillId="28" borderId="10" xfId="39" applyNumberFormat="1" applyFont="1" applyFill="1" applyBorder="1"/>
    <xf numFmtId="10" fontId="59" fillId="29" borderId="10" xfId="39" applyNumberFormat="1" applyFont="1" applyFill="1" applyBorder="1"/>
    <xf numFmtId="10" fontId="45" fillId="30" borderId="10" xfId="39" applyNumberFormat="1" applyFont="1" applyFill="1" applyBorder="1"/>
    <xf numFmtId="10" fontId="43" fillId="30" borderId="10" xfId="55" applyNumberFormat="1" applyFont="1" applyFill="1" applyBorder="1" applyAlignment="1">
      <alignment vertical="center"/>
    </xf>
    <xf numFmtId="0" fontId="45" fillId="0" borderId="12" xfId="39" applyFont="1" applyBorder="1"/>
    <xf numFmtId="10" fontId="45" fillId="0" borderId="12" xfId="39" applyNumberFormat="1" applyFont="1" applyBorder="1"/>
    <xf numFmtId="0" fontId="45" fillId="30" borderId="10" xfId="39" applyFont="1" applyFill="1" applyBorder="1"/>
    <xf numFmtId="3" fontId="32" fillId="30" borderId="10" xfId="55" applyNumberFormat="1" applyFont="1" applyFill="1" applyBorder="1" applyAlignment="1">
      <alignment horizontal="right" vertical="center"/>
    </xf>
    <xf numFmtId="171" fontId="43" fillId="30" borderId="10" xfId="55" applyNumberFormat="1" applyFont="1" applyFill="1" applyBorder="1" applyAlignment="1">
      <alignment horizontal="right"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0" fillId="0" borderId="10" xfId="0" applyBorder="1" applyAlignment="1">
      <alignment wrapText="1"/>
    </xf>
    <xf numFmtId="0" fontId="15" fillId="0" borderId="10" xfId="41" applyFont="1" applyBorder="1" applyAlignment="1">
      <alignment vertical="top" wrapText="1"/>
    </xf>
    <xf numFmtId="14" fontId="15" fillId="0" borderId="10" xfId="41" applyNumberFormat="1" applyFont="1" applyBorder="1" applyAlignment="1">
      <alignment horizontal="center" vertical="center" wrapText="1"/>
    </xf>
    <xf numFmtId="0" fontId="15" fillId="0" borderId="10" xfId="41" applyFont="1" applyBorder="1" applyAlignment="1">
      <alignment horizontal="center" vertical="center" wrapText="1"/>
    </xf>
    <xf numFmtId="0" fontId="15" fillId="0" borderId="10" xfId="41" applyFont="1" applyBorder="1" applyAlignment="1">
      <alignment horizontal="justify" vertical="top" wrapText="1"/>
    </xf>
    <xf numFmtId="14" fontId="15" fillId="0" borderId="10" xfId="41" applyNumberFormat="1" applyFont="1" applyBorder="1" applyAlignment="1">
      <alignment horizontal="center" vertical="center"/>
    </xf>
    <xf numFmtId="0" fontId="15" fillId="0" borderId="10" xfId="41" applyFont="1" applyBorder="1" applyAlignment="1">
      <alignment horizontal="left" vertical="top" wrapText="1"/>
    </xf>
    <xf numFmtId="176" fontId="28" fillId="0" borderId="10" xfId="41" applyNumberFormat="1" applyFont="1" applyBorder="1" applyAlignment="1">
      <alignment horizontal="right" vertical="top" wrapText="1"/>
    </xf>
    <xf numFmtId="0" fontId="15" fillId="0" borderId="0" xfId="41" applyFont="1" applyAlignment="1">
      <alignment vertical="top" wrapText="1"/>
    </xf>
    <xf numFmtId="0" fontId="60" fillId="0" borderId="0" xfId="52" applyFont="1" applyAlignment="1">
      <alignment vertical="center"/>
    </xf>
    <xf numFmtId="0" fontId="33" fillId="0" borderId="0" xfId="41" applyFont="1" applyAlignment="1">
      <alignment vertical="center"/>
    </xf>
    <xf numFmtId="0" fontId="26" fillId="0" borderId="0" xfId="52" applyFont="1" applyAlignment="1">
      <alignment vertical="center"/>
    </xf>
    <xf numFmtId="0" fontId="26" fillId="0" borderId="0" xfId="41" applyFont="1"/>
    <xf numFmtId="0" fontId="28" fillId="0" borderId="0" xfId="56" applyFont="1"/>
    <xf numFmtId="0" fontId="15" fillId="0" borderId="15" xfId="41" applyFont="1" applyBorder="1" applyAlignment="1">
      <alignment horizontal="center" vertical="center" wrapText="1"/>
    </xf>
    <xf numFmtId="0" fontId="2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7" fontId="28" fillId="0" borderId="10" xfId="41" applyNumberFormat="1" applyFont="1" applyBorder="1" applyAlignment="1">
      <alignment horizontal="center" vertical="center" wrapText="1"/>
    </xf>
    <xf numFmtId="177" fontId="38" fillId="0" borderId="10" xfId="41" applyNumberFormat="1" applyFont="1" applyBorder="1" applyAlignment="1">
      <alignment horizontal="center" vertical="center" wrapText="1"/>
    </xf>
    <xf numFmtId="177" fontId="15" fillId="0" borderId="0" xfId="41" applyNumberFormat="1" applyFont="1"/>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7" fontId="15" fillId="0" borderId="10" xfId="41" applyNumberFormat="1" applyFont="1" applyBorder="1" applyAlignment="1">
      <alignment horizontal="center" vertical="center" wrapText="1"/>
    </xf>
    <xf numFmtId="0" fontId="15" fillId="0" borderId="19" xfId="41" applyFont="1" applyBorder="1" applyAlignment="1">
      <alignment horizontal="left" vertical="center" wrapText="1"/>
    </xf>
    <xf numFmtId="0" fontId="28" fillId="0" borderId="0" xfId="41" applyFont="1"/>
    <xf numFmtId="0" fontId="15" fillId="0" borderId="10" xfId="47" applyFont="1" applyBorder="1" applyAlignment="1">
      <alignment horizontal="left" vertical="center" wrapText="1"/>
    </xf>
    <xf numFmtId="0" fontId="28" fillId="0" borderId="10" xfId="47" applyFont="1" applyBorder="1" applyAlignment="1">
      <alignment horizontal="left" vertical="center" wrapText="1"/>
    </xf>
    <xf numFmtId="0" fontId="15"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0" fontId="15" fillId="0" borderId="0" xfId="41" applyFont="1" applyAlignment="1">
      <alignment horizontal="left"/>
    </xf>
    <xf numFmtId="0" fontId="38" fillId="0" borderId="10" xfId="51" applyFont="1" applyBorder="1" applyAlignment="1">
      <alignment horizontal="center" vertical="center" wrapText="1"/>
    </xf>
    <xf numFmtId="0" fontId="38" fillId="0" borderId="10" xfId="51" applyFont="1" applyBorder="1" applyAlignment="1">
      <alignment horizontal="center" vertical="center"/>
    </xf>
    <xf numFmtId="0" fontId="63" fillId="0" borderId="0" xfId="51" applyFont="1"/>
    <xf numFmtId="0" fontId="63" fillId="0" borderId="10" xfId="51" applyFont="1" applyBorder="1" applyAlignment="1">
      <alignment horizontal="center" vertical="center"/>
    </xf>
    <xf numFmtId="0" fontId="63" fillId="0" borderId="0" xfId="51" applyFont="1" applyAlignment="1">
      <alignment wrapText="1"/>
    </xf>
    <xf numFmtId="1" fontId="63" fillId="0" borderId="10" xfId="51" applyNumberFormat="1" applyFont="1" applyBorder="1" applyAlignment="1">
      <alignment horizontal="center" vertical="center" wrapText="1"/>
    </xf>
    <xf numFmtId="49" fontId="63" fillId="0" borderId="10" xfId="51" applyNumberFormat="1" applyFont="1" applyBorder="1" applyAlignment="1">
      <alignment horizontal="center" vertical="center" wrapText="1"/>
    </xf>
    <xf numFmtId="17" fontId="63" fillId="0" borderId="10" xfId="51" applyNumberFormat="1" applyFont="1" applyBorder="1" applyAlignment="1">
      <alignment horizontal="center" vertical="center" wrapText="1"/>
    </xf>
    <xf numFmtId="2" fontId="63" fillId="0" borderId="10" xfId="51" applyNumberFormat="1" applyFont="1" applyBorder="1" applyAlignment="1">
      <alignment horizontal="center" vertical="center" wrapText="1"/>
    </xf>
    <xf numFmtId="171" fontId="63" fillId="0" borderId="10" xfId="51" applyNumberFormat="1" applyFont="1" applyBorder="1" applyAlignment="1">
      <alignment horizontal="center" vertical="center" wrapText="1"/>
    </xf>
    <xf numFmtId="14" fontId="63" fillId="0" borderId="10" xfId="51" applyNumberFormat="1" applyFont="1" applyBorder="1" applyAlignment="1">
      <alignment horizontal="center" vertical="center" wrapText="1"/>
    </xf>
    <xf numFmtId="1" fontId="63" fillId="0" borderId="11" xfId="51" applyNumberFormat="1" applyFont="1" applyBorder="1" applyAlignment="1">
      <alignment horizontal="center" vertical="center"/>
    </xf>
    <xf numFmtId="49" fontId="63" fillId="0" borderId="13" xfId="51" applyNumberFormat="1" applyFont="1" applyBorder="1" applyAlignment="1">
      <alignment horizontal="center" vertical="center"/>
    </xf>
    <xf numFmtId="1" fontId="63" fillId="0" borderId="10" xfId="51" applyNumberFormat="1" applyFont="1" applyBorder="1" applyAlignment="1">
      <alignment horizontal="center" vertical="center"/>
    </xf>
    <xf numFmtId="0" fontId="51" fillId="0" borderId="10" xfId="41" applyFont="1" applyBorder="1" applyAlignment="1">
      <alignment horizontal="left" vertical="center" wrapText="1"/>
    </xf>
    <xf numFmtId="14" fontId="63" fillId="0" borderId="10" xfId="51" applyNumberFormat="1" applyFont="1" applyBorder="1" applyAlignment="1">
      <alignment horizontal="center" vertical="center"/>
    </xf>
    <xf numFmtId="178" fontId="63" fillId="0" borderId="10" xfId="51" applyNumberFormat="1" applyFont="1" applyBorder="1" applyAlignment="1">
      <alignment horizontal="center" vertical="center"/>
    </xf>
    <xf numFmtId="49" fontId="63" fillId="0" borderId="10" xfId="51" applyNumberFormat="1" applyFont="1" applyBorder="1" applyAlignment="1">
      <alignment horizontal="center" vertical="center"/>
    </xf>
    <xf numFmtId="17" fontId="63" fillId="0" borderId="10" xfId="51" applyNumberFormat="1" applyFont="1" applyBorder="1" applyAlignment="1">
      <alignment horizontal="center" vertical="center"/>
    </xf>
    <xf numFmtId="2" fontId="63" fillId="0" borderId="10" xfId="51" applyNumberFormat="1" applyFont="1" applyBorder="1" applyAlignment="1">
      <alignment horizontal="center" vertical="center"/>
    </xf>
    <xf numFmtId="178" fontId="63" fillId="0" borderId="10" xfId="51" applyNumberFormat="1" applyFont="1" applyBorder="1" applyAlignment="1">
      <alignment horizontal="center" vertical="center" wrapText="1"/>
    </xf>
    <xf numFmtId="0" fontId="61" fillId="0" borderId="0" xfId="51" applyFont="1" applyAlignment="1">
      <alignment wrapText="1"/>
    </xf>
    <xf numFmtId="1" fontId="61" fillId="0" borderId="10" xfId="51" applyNumberFormat="1" applyFont="1" applyBorder="1" applyAlignment="1">
      <alignment horizontal="center" vertical="center" wrapText="1"/>
    </xf>
    <xf numFmtId="49" fontId="61" fillId="0" borderId="10" xfId="51" applyNumberFormat="1" applyFont="1" applyBorder="1" applyAlignment="1">
      <alignment horizontal="center" vertical="center" wrapText="1"/>
    </xf>
    <xf numFmtId="17" fontId="61" fillId="0" borderId="10" xfId="51" applyNumberFormat="1" applyFont="1" applyBorder="1" applyAlignment="1">
      <alignment horizontal="center" vertical="center" wrapText="1"/>
    </xf>
    <xf numFmtId="178" fontId="61" fillId="0" borderId="10" xfId="51" applyNumberFormat="1" applyFont="1" applyBorder="1" applyAlignment="1">
      <alignment horizontal="center" vertical="center" wrapText="1"/>
    </xf>
    <xf numFmtId="171" fontId="61" fillId="0" borderId="10" xfId="51" applyNumberFormat="1" applyFont="1" applyBorder="1" applyAlignment="1">
      <alignment horizontal="center" vertical="center" wrapText="1"/>
    </xf>
    <xf numFmtId="14" fontId="61" fillId="0" borderId="10" xfId="51" applyNumberFormat="1" applyFont="1" applyBorder="1" applyAlignment="1">
      <alignment horizontal="center" vertical="center" wrapText="1"/>
    </xf>
    <xf numFmtId="0" fontId="51" fillId="0" borderId="0" xfId="41" applyFont="1"/>
    <xf numFmtId="0" fontId="60" fillId="0" borderId="0" xfId="41" applyFont="1" applyAlignment="1">
      <alignment horizontal="center"/>
    </xf>
    <xf numFmtId="0" fontId="60" fillId="0" borderId="0" xfId="41" applyFont="1"/>
    <xf numFmtId="2" fontId="65" fillId="0" borderId="0" xfId="41" applyNumberFormat="1" applyFont="1" applyAlignment="1">
      <alignment horizontal="right" vertical="top" wrapText="1"/>
    </xf>
    <xf numFmtId="0" fontId="51" fillId="0" borderId="0" xfId="41" applyFont="1" applyAlignment="1">
      <alignment horizontal="right"/>
    </xf>
    <xf numFmtId="0" fontId="50" fillId="0" borderId="40" xfId="41" applyFont="1" applyBorder="1" applyAlignment="1">
      <alignment horizontal="justify"/>
    </xf>
    <xf numFmtId="0" fontId="51" fillId="0" borderId="40" xfId="41" applyFont="1" applyBorder="1" applyAlignment="1">
      <alignment horizontal="justify"/>
    </xf>
    <xf numFmtId="0" fontId="51" fillId="0" borderId="41" xfId="41" applyFont="1" applyBorder="1" applyAlignment="1">
      <alignment horizontal="justify"/>
    </xf>
    <xf numFmtId="0" fontId="50" fillId="0" borderId="40" xfId="41" applyFont="1" applyBorder="1" applyAlignment="1">
      <alignment vertical="top" wrapText="1"/>
    </xf>
    <xf numFmtId="0" fontId="50" fillId="0" borderId="42" xfId="41" applyFont="1" applyBorder="1" applyAlignment="1">
      <alignment vertical="top" wrapText="1"/>
    </xf>
    <xf numFmtId="0" fontId="51" fillId="0" borderId="43" xfId="41" applyFont="1" applyBorder="1" applyAlignment="1">
      <alignment horizontal="justify" vertical="top" wrapText="1"/>
    </xf>
    <xf numFmtId="0" fontId="50" fillId="0" borderId="42" xfId="41" applyFont="1" applyBorder="1" applyAlignment="1">
      <alignment horizontal="justify" vertical="top" wrapText="1"/>
    </xf>
    <xf numFmtId="2" fontId="51" fillId="0" borderId="40" xfId="41" applyNumberFormat="1" applyFont="1" applyBorder="1" applyAlignment="1">
      <alignment horizontal="justify" vertical="top" wrapText="1"/>
    </xf>
    <xf numFmtId="0" fontId="51" fillId="0" borderId="40" xfId="41" applyFont="1" applyBorder="1" applyAlignment="1">
      <alignment horizontal="justify" vertical="top" wrapText="1"/>
    </xf>
    <xf numFmtId="0" fontId="51" fillId="0" borderId="40" xfId="41" applyFont="1" applyBorder="1" applyAlignment="1">
      <alignment horizontal="left" vertical="top" wrapText="1"/>
    </xf>
    <xf numFmtId="0" fontId="50" fillId="0" borderId="40" xfId="41" applyFont="1" applyBorder="1" applyAlignment="1">
      <alignment horizontal="justify" vertical="top" wrapText="1"/>
    </xf>
    <xf numFmtId="4" fontId="51" fillId="0" borderId="40" xfId="41" applyNumberFormat="1" applyFont="1" applyBorder="1" applyAlignment="1">
      <alignment horizontal="justify" vertical="top" wrapText="1"/>
    </xf>
    <xf numFmtId="0" fontId="15" fillId="31" borderId="0" xfId="41" applyFont="1" applyFill="1"/>
    <xf numFmtId="0" fontId="51" fillId="32" borderId="40" xfId="41" applyFont="1" applyFill="1" applyBorder="1" applyAlignment="1">
      <alignment horizontal="justify" vertical="top" wrapText="1"/>
    </xf>
    <xf numFmtId="4" fontId="51" fillId="32" borderId="40" xfId="41" applyNumberFormat="1" applyFont="1" applyFill="1" applyBorder="1" applyAlignment="1">
      <alignment horizontal="justify" vertical="top" wrapText="1"/>
    </xf>
    <xf numFmtId="10" fontId="51" fillId="0" borderId="40" xfId="41" applyNumberFormat="1" applyFont="1" applyBorder="1" applyAlignment="1">
      <alignment horizontal="justify" vertical="top" wrapText="1"/>
    </xf>
    <xf numFmtId="0" fontId="51" fillId="31" borderId="40" xfId="41" applyFont="1" applyFill="1" applyBorder="1" applyAlignment="1">
      <alignment horizontal="justify" vertical="top" wrapText="1"/>
    </xf>
    <xf numFmtId="4" fontId="51" fillId="31" borderId="40" xfId="41" applyNumberFormat="1" applyFont="1" applyFill="1" applyBorder="1" applyAlignment="1">
      <alignment horizontal="justify" vertical="top" wrapText="1"/>
    </xf>
    <xf numFmtId="0" fontId="50" fillId="0" borderId="41" xfId="41" applyFont="1" applyBorder="1" applyAlignment="1">
      <alignment vertical="top" wrapText="1"/>
    </xf>
    <xf numFmtId="0" fontId="51" fillId="0" borderId="41" xfId="41" applyFont="1" applyBorder="1" applyAlignment="1">
      <alignment vertical="top" wrapText="1"/>
    </xf>
    <xf numFmtId="0" fontId="50" fillId="0" borderId="40" xfId="41" applyFont="1" applyBorder="1" applyAlignment="1">
      <alignment horizontal="justify" vertical="center" wrapText="1"/>
    </xf>
    <xf numFmtId="2" fontId="51" fillId="0" borderId="44" xfId="41" applyNumberFormat="1" applyFont="1" applyBorder="1" applyAlignment="1">
      <alignment horizontal="justify" vertical="top" wrapText="1"/>
    </xf>
    <xf numFmtId="10" fontId="51" fillId="0" borderId="44" xfId="41" applyNumberFormat="1" applyFont="1" applyBorder="1" applyAlignment="1">
      <alignment horizontal="justify" vertical="top" wrapText="1"/>
    </xf>
    <xf numFmtId="4" fontId="28" fillId="0" borderId="24" xfId="39" applyNumberFormat="1" applyFont="1" applyBorder="1" applyAlignment="1">
      <alignment horizontal="left" vertical="center" wrapText="1"/>
    </xf>
    <xf numFmtId="4" fontId="15" fillId="0" borderId="0" xfId="41" applyNumberFormat="1" applyFont="1"/>
    <xf numFmtId="0" fontId="51" fillId="0" borderId="45" xfId="41" applyFont="1" applyBorder="1" applyAlignment="1">
      <alignment vertical="top" wrapText="1"/>
    </xf>
    <xf numFmtId="0" fontId="51" fillId="0" borderId="45" xfId="41" applyFont="1" applyBorder="1" applyAlignment="1">
      <alignment horizontal="left" vertical="center" wrapText="1"/>
    </xf>
    <xf numFmtId="0" fontId="51" fillId="0" borderId="42" xfId="41" applyFont="1" applyBorder="1" applyAlignment="1">
      <alignment vertical="top" wrapText="1"/>
    </xf>
    <xf numFmtId="0" fontId="51" fillId="0" borderId="42" xfId="41" applyFont="1" applyBorder="1" applyAlignment="1">
      <alignment horizontal="left" vertical="center" wrapText="1"/>
    </xf>
    <xf numFmtId="0" fontId="51" fillId="0" borderId="40" xfId="41" applyFont="1" applyBorder="1" applyAlignment="1">
      <alignment vertical="top" wrapText="1"/>
    </xf>
    <xf numFmtId="0" fontId="51" fillId="0" borderId="46" xfId="41" applyFont="1" applyBorder="1" applyAlignment="1">
      <alignment horizontal="left" vertical="top" wrapText="1"/>
    </xf>
    <xf numFmtId="0" fontId="50" fillId="0" borderId="41" xfId="41" applyFont="1" applyBorder="1" applyAlignment="1">
      <alignment horizontal="left" vertical="center" wrapText="1"/>
    </xf>
    <xf numFmtId="0" fontId="51" fillId="0" borderId="41" xfId="41" applyFont="1" applyBorder="1" applyAlignment="1">
      <alignment horizontal="left" vertical="top" wrapText="1"/>
    </xf>
    <xf numFmtId="0" fontId="51" fillId="0" borderId="44" xfId="41" applyFont="1" applyBorder="1" applyAlignment="1">
      <alignment horizontal="justify" vertical="top" wrapText="1"/>
    </xf>
    <xf numFmtId="14" fontId="51" fillId="0" borderId="46" xfId="41" applyNumberFormat="1" applyFont="1" applyBorder="1" applyAlignment="1">
      <alignment horizontal="justify" vertical="top" wrapText="1"/>
    </xf>
    <xf numFmtId="0" fontId="51" fillId="0" borderId="46" xfId="41" applyFont="1" applyBorder="1" applyAlignment="1">
      <alignment horizontal="justify" vertical="top" wrapText="1"/>
    </xf>
    <xf numFmtId="0" fontId="50" fillId="0" borderId="41" xfId="41" applyFont="1" applyBorder="1" applyAlignment="1">
      <alignment horizontal="center" vertical="center" wrapText="1"/>
    </xf>
    <xf numFmtId="0" fontId="51" fillId="0" borderId="46" xfId="41" applyFont="1" applyBorder="1" applyAlignment="1">
      <alignment vertical="top" wrapText="1"/>
    </xf>
    <xf numFmtId="0" fontId="51" fillId="0" borderId="42" xfId="41" applyFont="1" applyBorder="1" applyAlignment="1">
      <alignment vertical="top"/>
    </xf>
    <xf numFmtId="1" fontId="50" fillId="0" borderId="0" xfId="41" applyNumberFormat="1" applyFont="1" applyAlignment="1">
      <alignment horizontal="left" vertical="top"/>
    </xf>
    <xf numFmtId="49" fontId="51" fillId="0" borderId="0" xfId="41" applyNumberFormat="1" applyFont="1" applyAlignment="1">
      <alignment horizontal="left" vertical="top" wrapText="1"/>
    </xf>
    <xf numFmtId="49" fontId="51" fillId="0" borderId="0" xfId="41" applyNumberFormat="1" applyFont="1" applyAlignment="1">
      <alignment horizontal="left" vertical="top"/>
    </xf>
    <xf numFmtId="0" fontId="51" fillId="0" borderId="0" xfId="41"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2" fillId="0" borderId="0" xfId="52" applyFont="1" applyAlignment="1">
      <alignment horizontal="center" vertical="center"/>
    </xf>
    <xf numFmtId="0" fontId="33" fillId="0" borderId="0" xfId="52"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15" fillId="0" borderId="0" xfId="52" applyFont="1" applyAlignment="1">
      <alignment horizontal="center" vertical="center"/>
    </xf>
    <xf numFmtId="167" fontId="36" fillId="0" borderId="0" xfId="52" applyNumberFormat="1" applyFont="1" applyAlignment="1">
      <alignment horizontal="center" vertical="center" wrapText="1"/>
    </xf>
    <xf numFmtId="0" fontId="36" fillId="0" borderId="0" xfId="52" applyFont="1" applyAlignment="1">
      <alignment horizontal="center" vertical="center" wrapText="1"/>
    </xf>
    <xf numFmtId="0" fontId="37" fillId="0" borderId="0" xfId="52" applyFont="1" applyAlignment="1">
      <alignment horizontal="center" vertical="center" wrapText="1"/>
    </xf>
    <xf numFmtId="0" fontId="37" fillId="0" borderId="0" xfId="52" applyFont="1" applyAlignment="1">
      <alignment horizontal="center" vertical="center"/>
    </xf>
    <xf numFmtId="0" fontId="31" fillId="0" borderId="0" xfId="52" applyFont="1" applyAlignment="1">
      <alignment horizontal="center" vertical="center"/>
    </xf>
    <xf numFmtId="0" fontId="34" fillId="0" borderId="0" xfId="52" applyFont="1" applyAlignment="1">
      <alignment horizontal="center" vertical="center"/>
    </xf>
    <xf numFmtId="167" fontId="32" fillId="0" borderId="0" xfId="52" applyNumberFormat="1" applyFont="1" applyAlignment="1">
      <alignment horizontal="center" vertical="center"/>
    </xf>
    <xf numFmtId="0" fontId="32" fillId="0" borderId="14" xfId="52" applyFont="1" applyBorder="1" applyAlignment="1">
      <alignment vertical="center"/>
    </xf>
    <xf numFmtId="0" fontId="38" fillId="0" borderId="10" xfId="52" applyFont="1" applyBorder="1" applyAlignment="1">
      <alignment horizontal="center" vertical="center" wrapText="1"/>
    </xf>
    <xf numFmtId="0" fontId="38" fillId="0" borderId="15" xfId="52" applyFont="1" applyBorder="1" applyAlignment="1">
      <alignment horizontal="center" vertical="center" wrapText="1"/>
    </xf>
    <xf numFmtId="0" fontId="38" fillId="0" borderId="16" xfId="52" applyFont="1" applyBorder="1" applyAlignment="1">
      <alignment horizontal="center" vertical="center" wrapText="1"/>
    </xf>
    <xf numFmtId="0" fontId="29" fillId="0" borderId="10" xfId="52" applyFont="1" applyBorder="1" applyAlignment="1">
      <alignment horizontal="center" vertical="center" wrapText="1"/>
    </xf>
    <xf numFmtId="0" fontId="28" fillId="0" borderId="11" xfId="39" applyFont="1" applyBorder="1" applyAlignment="1">
      <alignment horizontal="center" vertical="center" wrapText="1"/>
    </xf>
    <xf numFmtId="0" fontId="28" fillId="0" borderId="12" xfId="39" applyFont="1" applyBorder="1" applyAlignment="1">
      <alignment horizontal="center" vertical="center" wrapText="1"/>
    </xf>
    <xf numFmtId="49" fontId="15" fillId="0" borderId="0" xfId="39" applyNumberFormat="1" applyFont="1" applyAlignment="1">
      <alignment horizontal="left" vertical="top"/>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3" xfId="39" applyFont="1" applyBorder="1" applyAlignment="1">
      <alignment horizontal="center" vertical="center" wrapText="1"/>
    </xf>
    <xf numFmtId="0" fontId="31" fillId="0" borderId="0" xfId="52" applyFont="1" applyAlignment="1">
      <alignment horizontal="center" vertical="center" wrapText="1"/>
    </xf>
    <xf numFmtId="0" fontId="43" fillId="0" borderId="0" xfId="51" applyFont="1" applyAlignment="1">
      <alignment horizontal="center"/>
    </xf>
    <xf numFmtId="0" fontId="39" fillId="0" borderId="0" xfId="51"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9"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12" xfId="52" applyFont="1" applyBorder="1" applyAlignment="1">
      <alignment horizontal="center" vertical="center" wrapText="1"/>
    </xf>
    <xf numFmtId="0" fontId="38" fillId="0" borderId="13" xfId="52" applyFont="1" applyBorder="1" applyAlignment="1">
      <alignment horizontal="center" vertical="center" wrapText="1"/>
    </xf>
    <xf numFmtId="0" fontId="28" fillId="0" borderId="0" xfId="53" applyFont="1" applyAlignment="1">
      <alignment horizontal="center" vertical="center"/>
    </xf>
    <xf numFmtId="167" fontId="37" fillId="0" borderId="0" xfId="52" applyNumberFormat="1" applyFont="1" applyAlignment="1">
      <alignment horizontal="center" vertical="center" wrapText="1"/>
    </xf>
    <xf numFmtId="0" fontId="47" fillId="0" borderId="11" xfId="55" applyFont="1" applyBorder="1" applyAlignment="1">
      <alignment horizontal="center" vertical="center" wrapText="1"/>
    </xf>
    <xf numFmtId="0" fontId="47" fillId="0" borderId="12" xfId="55" applyFont="1" applyBorder="1" applyAlignment="1">
      <alignment horizontal="center" vertical="center" wrapText="1"/>
    </xf>
    <xf numFmtId="0" fontId="47" fillId="0" borderId="13" xfId="55" applyFont="1" applyBorder="1" applyAlignment="1">
      <alignment horizontal="center" vertical="center" wrapText="1"/>
    </xf>
    <xf numFmtId="4" fontId="47" fillId="0" borderId="11" xfId="55" applyNumberFormat="1" applyFont="1" applyBorder="1" applyAlignment="1">
      <alignment horizontal="center" vertical="center"/>
    </xf>
    <xf numFmtId="4" fontId="47" fillId="0" borderId="13" xfId="55" applyNumberFormat="1" applyFont="1" applyBorder="1" applyAlignment="1">
      <alignment horizontal="center" vertical="center"/>
    </xf>
    <xf numFmtId="3" fontId="47" fillId="0" borderId="11" xfId="55" applyNumberFormat="1" applyFont="1" applyBorder="1" applyAlignment="1">
      <alignment horizontal="center" vertical="center"/>
    </xf>
    <xf numFmtId="3" fontId="47" fillId="0" borderId="13" xfId="55" applyNumberFormat="1" applyFont="1" applyBorder="1" applyAlignment="1">
      <alignment horizontal="center" vertical="center"/>
    </xf>
    <xf numFmtId="0" fontId="47" fillId="0" borderId="11" xfId="55" applyFont="1" applyBorder="1" applyAlignment="1">
      <alignment horizontal="center" vertical="center"/>
    </xf>
    <xf numFmtId="0" fontId="47" fillId="0" borderId="12" xfId="55" applyFont="1" applyBorder="1" applyAlignment="1">
      <alignment horizontal="center" vertical="center"/>
    </xf>
    <xf numFmtId="0" fontId="47" fillId="0" borderId="13" xfId="55" applyFont="1" applyBorder="1" applyAlignment="1">
      <alignment horizontal="center" vertical="center"/>
    </xf>
    <xf numFmtId="0" fontId="55"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3" xfId="39" applyFont="1" applyBorder="1" applyAlignment="1">
      <alignment horizontal="center" vertical="center" wrapText="1"/>
    </xf>
    <xf numFmtId="0" fontId="32" fillId="27" borderId="0" xfId="39" applyFont="1" applyFill="1" applyAlignment="1">
      <alignment horizontal="center" vertical="center" wrapText="1"/>
    </xf>
    <xf numFmtId="0" fontId="47" fillId="27" borderId="0" xfId="0" applyFont="1" applyFill="1" applyAlignment="1">
      <alignment horizontal="center" vertical="center" wrapText="1"/>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60" fillId="0" borderId="0" xfId="52" applyFont="1" applyAlignment="1">
      <alignment horizontal="center" vertical="center"/>
    </xf>
    <xf numFmtId="0" fontId="36" fillId="0" borderId="0" xfId="52" applyFont="1" applyAlignment="1">
      <alignment horizontal="center" vertical="center"/>
    </xf>
    <xf numFmtId="0" fontId="15" fillId="0" borderId="0" xfId="41" applyFont="1" applyAlignment="1">
      <alignment horizontal="center"/>
    </xf>
    <xf numFmtId="0" fontId="28" fillId="0" borderId="0" xfId="41" applyFont="1" applyAlignment="1">
      <alignment horizontal="center"/>
    </xf>
    <xf numFmtId="0" fontId="38" fillId="0" borderId="15" xfId="41" applyFont="1" applyBorder="1" applyAlignment="1">
      <alignment horizontal="center" vertical="center" wrapText="1"/>
    </xf>
    <xf numFmtId="0" fontId="38" fillId="0" borderId="19" xfId="41" applyFont="1" applyBorder="1" applyAlignment="1">
      <alignment horizontal="center" vertical="center" wrapText="1"/>
    </xf>
    <xf numFmtId="0" fontId="38" fillId="0" borderId="16" xfId="41" applyFont="1" applyBorder="1" applyAlignment="1">
      <alignment horizontal="center" vertical="center" wrapText="1"/>
    </xf>
    <xf numFmtId="0" fontId="28" fillId="0" borderId="10" xfId="56" applyFont="1" applyBorder="1" applyAlignment="1">
      <alignment horizontal="center" vertical="center" wrapText="1"/>
    </xf>
    <xf numFmtId="0" fontId="28" fillId="0" borderId="11" xfId="56" applyFont="1" applyBorder="1" applyAlignment="1">
      <alignment horizontal="center" vertical="center"/>
    </xf>
    <xf numFmtId="0" fontId="28" fillId="0" borderId="12" xfId="56" applyFont="1" applyBorder="1" applyAlignment="1">
      <alignment horizontal="center" vertical="center"/>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39" fillId="0" borderId="14" xfId="51" applyFont="1" applyBorder="1" applyAlignment="1">
      <alignment horizontal="center"/>
    </xf>
    <xf numFmtId="0" fontId="38" fillId="0" borderId="15" xfId="51" applyFont="1" applyBorder="1" applyAlignment="1">
      <alignment horizontal="center" vertical="center" wrapText="1"/>
    </xf>
    <xf numFmtId="0" fontId="38" fillId="0" borderId="19" xfId="51" applyFont="1" applyBorder="1" applyAlignment="1">
      <alignment horizontal="center" vertical="center" wrapText="1"/>
    </xf>
    <xf numFmtId="0" fontId="38" fillId="0" borderId="16" xfId="51" applyFont="1" applyBorder="1" applyAlignment="1">
      <alignment horizontal="center" vertical="center" wrapText="1"/>
    </xf>
    <xf numFmtId="0" fontId="38" fillId="0" borderId="17" xfId="51" applyFont="1" applyBorder="1" applyAlignment="1">
      <alignment horizontal="center" vertical="center" wrapText="1"/>
    </xf>
    <xf numFmtId="0" fontId="38" fillId="0" borderId="39" xfId="51" applyFont="1" applyBorder="1" applyAlignment="1">
      <alignment horizontal="center" vertical="center" wrapText="1"/>
    </xf>
    <xf numFmtId="0" fontId="38" fillId="0" borderId="20" xfId="51" applyFont="1" applyBorder="1" applyAlignment="1">
      <alignment horizontal="center" vertical="center" wrapText="1"/>
    </xf>
    <xf numFmtId="0" fontId="38" fillId="0" borderId="11" xfId="51" applyFont="1" applyBorder="1" applyAlignment="1">
      <alignment horizontal="center" vertical="center" wrapText="1"/>
    </xf>
    <xf numFmtId="0" fontId="38" fillId="0" borderId="12" xfId="51" applyFont="1" applyBorder="1" applyAlignment="1">
      <alignment horizontal="center" vertical="center" wrapText="1"/>
    </xf>
    <xf numFmtId="0" fontId="38" fillId="0" borderId="13" xfId="51" applyFont="1" applyBorder="1" applyAlignment="1">
      <alignment horizontal="center" vertical="center" wrapText="1"/>
    </xf>
    <xf numFmtId="0" fontId="38" fillId="0" borderId="10" xfId="51" applyFont="1" applyBorder="1" applyAlignment="1">
      <alignment horizontal="center" vertical="center" wrapText="1"/>
    </xf>
    <xf numFmtId="0" fontId="38" fillId="0" borderId="10" xfId="51" applyFont="1" applyBorder="1" applyAlignment="1">
      <alignment horizontal="center" vertical="center" textRotation="90" wrapText="1"/>
    </xf>
    <xf numFmtId="0" fontId="28" fillId="0" borderId="10" xfId="51" applyFont="1" applyBorder="1" applyAlignment="1" applyProtection="1">
      <alignment horizontal="center" vertical="center" textRotation="90" wrapText="1"/>
    </xf>
    <xf numFmtId="0" fontId="28" fillId="0" borderId="15"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61" fillId="0" borderId="10" xfId="51" applyFont="1" applyBorder="1" applyAlignment="1">
      <alignment horizontal="center" vertical="center" wrapText="1"/>
    </xf>
    <xf numFmtId="0" fontId="39" fillId="0" borderId="10" xfId="51" applyFont="1" applyBorder="1" applyAlignment="1">
      <alignment horizontal="center" vertical="center" wrapText="1"/>
    </xf>
    <xf numFmtId="0" fontId="38" fillId="0" borderId="15" xfId="51" applyFont="1" applyBorder="1" applyAlignment="1">
      <alignment horizontal="center" vertical="center" textRotation="90" wrapText="1"/>
    </xf>
    <xf numFmtId="0" fontId="38" fillId="0" borderId="16" xfId="51" applyFont="1" applyBorder="1" applyAlignment="1">
      <alignment horizontal="center" vertical="center" textRotation="90" wrapText="1"/>
    </xf>
    <xf numFmtId="0" fontId="62" fillId="0" borderId="15" xfId="47" applyFont="1" applyBorder="1" applyAlignment="1">
      <alignment horizontal="center" vertical="center" textRotation="90" wrapText="1"/>
    </xf>
    <xf numFmtId="0" fontId="62"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8" fillId="0" borderId="15" xfId="51" applyFont="1" applyBorder="1" applyAlignment="1">
      <alignment horizontal="center" vertical="center"/>
    </xf>
    <xf numFmtId="0" fontId="38" fillId="0" borderId="16" xfId="51" applyFont="1" applyBorder="1" applyAlignment="1">
      <alignment horizontal="center" vertical="center"/>
    </xf>
    <xf numFmtId="0" fontId="60" fillId="0" borderId="0" xfId="41" applyFont="1" applyAlignment="1">
      <alignment horizontal="center"/>
    </xf>
    <xf numFmtId="0" fontId="64" fillId="0" borderId="0" xfId="52" applyFont="1" applyAlignment="1">
      <alignment horizontal="center" vertical="center"/>
    </xf>
    <xf numFmtId="167" fontId="64" fillId="0" borderId="0" xfId="52" applyNumberFormat="1" applyFont="1" applyAlignment="1">
      <alignment horizontal="center" vertical="center" wrapText="1"/>
    </xf>
    <xf numFmtId="0" fontId="64" fillId="0" borderId="0" xfId="52" applyFont="1" applyAlignment="1">
      <alignment horizontal="center" vertical="center" wrapText="1"/>
    </xf>
    <xf numFmtId="0" fontId="50" fillId="0" borderId="0" xfId="41" applyFont="1" applyAlignment="1">
      <alignment horizontal="center" wrapText="1"/>
    </xf>
    <xf numFmtId="0" fontId="50" fillId="0" borderId="0" xfId="41" applyFont="1" applyAlignment="1">
      <alignment horizontal="center"/>
    </xf>
    <xf numFmtId="0" fontId="51" fillId="0" borderId="41" xfId="41" applyFont="1" applyBorder="1" applyAlignment="1">
      <alignment horizontal="left" vertical="top" wrapText="1"/>
    </xf>
    <xf numFmtId="0" fontId="51" fillId="0" borderId="45" xfId="41" applyFont="1" applyBorder="1" applyAlignment="1">
      <alignment horizontal="left" vertical="top" wrapText="1"/>
    </xf>
    <xf numFmtId="0" fontId="51" fillId="0" borderId="42" xfId="41" applyFont="1" applyBorder="1" applyAlignment="1">
      <alignment horizontal="left" vertical="top" wrapText="1"/>
    </xf>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1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7417460000000000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эфф'!$B$86:$R$86</c:f>
              <c:numCache>
                <c:formatCode>#,##0</c:formatCode>
                <c:ptCount val="17"/>
                <c:pt idx="0">
                  <c:v>-1422156.4671283492</c:v>
                </c:pt>
                <c:pt idx="1">
                  <c:v>0</c:v>
                </c:pt>
                <c:pt idx="2">
                  <c:v>-162128.86645441345</c:v>
                </c:pt>
                <c:pt idx="3">
                  <c:v>-5442.6066282082229</c:v>
                </c:pt>
                <c:pt idx="4">
                  <c:v>0</c:v>
                </c:pt>
                <c:pt idx="5">
                  <c:v>-3972265.2882951209</c:v>
                </c:pt>
                <c:pt idx="6">
                  <c:v>-2573680.0129062915</c:v>
                </c:pt>
                <c:pt idx="7">
                  <c:v>488179.74483204703</c:v>
                </c:pt>
                <c:pt idx="8">
                  <c:v>189243.48392736094</c:v>
                </c:pt>
                <c:pt idx="9">
                  <c:v>178526.82276017641</c:v>
                </c:pt>
                <c:pt idx="10">
                  <c:v>168494.83990817322</c:v>
                </c:pt>
                <c:pt idx="11">
                  <c:v>91241.706026145257</c:v>
                </c:pt>
                <c:pt idx="12">
                  <c:v>140459.61024715399</c:v>
                </c:pt>
                <c:pt idx="13">
                  <c:v>128283.81153373579</c:v>
                </c:pt>
                <c:pt idx="14">
                  <c:v>117187.24651751721</c:v>
                </c:pt>
                <c:pt idx="15">
                  <c:v>107071.55371855147</c:v>
                </c:pt>
                <c:pt idx="16">
                  <c:v>97847.636446836754</c:v>
                </c:pt>
              </c:numCache>
            </c:numRef>
          </c:val>
          <c:smooth val="0"/>
          <c:extLst>
            <c:ext xmlns:c16="http://schemas.microsoft.com/office/drawing/2014/chart" uri="{C3380CC4-5D6E-409C-BE32-E72D297353CC}">
              <c16:uniqueId val="{00000000-E9BE-42DC-A410-4167E47FFF8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эфф'!$B$87:$R$87</c:f>
              <c:numCache>
                <c:formatCode>#,##0</c:formatCode>
                <c:ptCount val="17"/>
                <c:pt idx="0">
                  <c:v>-1422156.4671283492</c:v>
                </c:pt>
                <c:pt idx="1">
                  <c:v>-1422156.4671283492</c:v>
                </c:pt>
                <c:pt idx="2">
                  <c:v>-1584285.3335827626</c:v>
                </c:pt>
                <c:pt idx="3">
                  <c:v>-1589727.9402109708</c:v>
                </c:pt>
                <c:pt idx="4">
                  <c:v>-1589727.9402109708</c:v>
                </c:pt>
                <c:pt idx="5">
                  <c:v>-5561993.228506092</c:v>
                </c:pt>
                <c:pt idx="6">
                  <c:v>-8135673.2414123835</c:v>
                </c:pt>
                <c:pt idx="7">
                  <c:v>-7647493.4965803362</c:v>
                </c:pt>
                <c:pt idx="8">
                  <c:v>-7458250.0126529755</c:v>
                </c:pt>
                <c:pt idx="9">
                  <c:v>-7279723.1898927987</c:v>
                </c:pt>
                <c:pt idx="10">
                  <c:v>-7111228.3499846254</c:v>
                </c:pt>
                <c:pt idx="11">
                  <c:v>-7019986.6439584801</c:v>
                </c:pt>
                <c:pt idx="12">
                  <c:v>-6879527.0337113263</c:v>
                </c:pt>
                <c:pt idx="13">
                  <c:v>-6751243.2221775902</c:v>
                </c:pt>
                <c:pt idx="14">
                  <c:v>-6634055.9756600726</c:v>
                </c:pt>
                <c:pt idx="15">
                  <c:v>-6526984.4219415216</c:v>
                </c:pt>
                <c:pt idx="16">
                  <c:v>-6429136.7854946852</c:v>
                </c:pt>
              </c:numCache>
            </c:numRef>
          </c:val>
          <c:smooth val="0"/>
          <c:extLst>
            <c:ext xmlns:c16="http://schemas.microsoft.com/office/drawing/2014/chart" uri="{C3380CC4-5D6E-409C-BE32-E72D297353CC}">
              <c16:uniqueId val="{00000001-E9BE-42DC-A410-4167E47FFF81}"/>
            </c:ext>
          </c:extLst>
        </c:ser>
        <c:dLbls>
          <c:showLegendKey val="0"/>
          <c:showVal val="0"/>
          <c:showCatName val="0"/>
          <c:showSerName val="0"/>
          <c:showPercent val="0"/>
          <c:showBubbleSize val="0"/>
        </c:dLbls>
        <c:smooth val="0"/>
        <c:axId val="989825696"/>
        <c:axId val="989811192"/>
      </c:lineChart>
      <c:catAx>
        <c:axId val="98982569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989811192"/>
        <c:crosses val="autoZero"/>
        <c:auto val="1"/>
        <c:lblAlgn val="ctr"/>
        <c:lblOffset val="100"/>
        <c:noMultiLvlLbl val="0"/>
      </c:catAx>
      <c:valAx>
        <c:axId val="989811192"/>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98982569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85451699999999997"/>
          <c:w val="0.90216399999999997"/>
          <c:h val="0.145483"/>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1119186</xdr:colOff>
      <xdr:row>31</xdr:row>
      <xdr:rowOff>178593</xdr:rowOff>
    </xdr:from>
    <xdr:to>
      <xdr:col>8</xdr:col>
      <xdr:colOff>24129</xdr:colOff>
      <xdr:row>45</xdr:row>
      <xdr:rowOff>16192</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persons/person.xml><?xml version="1.0" encoding="utf-8"?>
<personList xmlns="http://schemas.microsoft.com/office/spreadsheetml/2018/threadedcomments" xmlns:x="http://schemas.openxmlformats.org/spreadsheetml/2006/main">
  <person displayName="Счастливая Галина Александровна" id="{BDD5E91A-E71E-6E86-F16F-C3BAB2D5C76C}"/>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102" personId="{BDD5E91A-E71E-6E86-F16F-C3BAB2D5C76C}" id="{0034007C-00AD-49F6-867B-0069005F007B}" done="0">
    <text xml:space="preserve">форма 9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9"/>
  <sheetViews>
    <sheetView view="pageBreakPreview" zoomScale="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1" s="2" customFormat="1" ht="18.75" customHeight="1" x14ac:dyDescent="0.2">
      <c r="A1" s="3"/>
      <c r="C1" s="4" t="s">
        <v>0</v>
      </c>
    </row>
    <row r="2" spans="1:21" s="2" customFormat="1" ht="18.75" customHeight="1" x14ac:dyDescent="0.3">
      <c r="A2" s="3"/>
      <c r="C2" s="5" t="s">
        <v>1</v>
      </c>
    </row>
    <row r="3" spans="1:21" s="2" customFormat="1" ht="18.75" x14ac:dyDescent="0.3">
      <c r="A3" s="6"/>
      <c r="C3" s="5" t="s">
        <v>2</v>
      </c>
    </row>
    <row r="4" spans="1:21" s="2" customFormat="1" ht="18.75" x14ac:dyDescent="0.3">
      <c r="A4" s="6"/>
      <c r="G4" s="5"/>
    </row>
    <row r="5" spans="1:21" s="2" customFormat="1" ht="15.75" x14ac:dyDescent="0.25">
      <c r="A5" s="309" t="s">
        <v>3</v>
      </c>
      <c r="B5" s="309"/>
      <c r="C5" s="309"/>
      <c r="D5" s="8"/>
      <c r="E5" s="8"/>
      <c r="F5" s="8"/>
      <c r="G5" s="8"/>
      <c r="H5" s="8"/>
      <c r="I5" s="8"/>
    </row>
    <row r="6" spans="1:21" s="2" customFormat="1" ht="18.75" x14ac:dyDescent="0.3">
      <c r="A6" s="6"/>
      <c r="G6" s="5"/>
    </row>
    <row r="7" spans="1:21" s="2" customFormat="1" ht="18.75" x14ac:dyDescent="0.2">
      <c r="A7" s="310" t="s">
        <v>4</v>
      </c>
      <c r="B7" s="310"/>
      <c r="C7" s="310"/>
      <c r="D7" s="10"/>
      <c r="E7" s="10"/>
      <c r="F7" s="10"/>
      <c r="G7" s="10"/>
      <c r="H7" s="10"/>
      <c r="I7" s="10"/>
      <c r="J7" s="10"/>
      <c r="K7" s="10"/>
      <c r="L7" s="10"/>
      <c r="M7" s="10"/>
      <c r="N7" s="10"/>
      <c r="O7" s="10"/>
      <c r="P7" s="10"/>
      <c r="Q7" s="10"/>
      <c r="R7" s="10"/>
      <c r="S7" s="10"/>
      <c r="T7" s="10"/>
      <c r="U7" s="10"/>
    </row>
    <row r="8" spans="1:21" s="2" customFormat="1" ht="18.75" x14ac:dyDescent="0.2">
      <c r="A8" s="9"/>
      <c r="B8" s="9"/>
      <c r="C8" s="9"/>
      <c r="D8" s="9"/>
      <c r="E8" s="9"/>
      <c r="F8" s="9"/>
      <c r="G8" s="9"/>
      <c r="H8" s="10"/>
      <c r="I8" s="10"/>
      <c r="J8" s="10"/>
      <c r="K8" s="10"/>
      <c r="L8" s="10"/>
      <c r="M8" s="10"/>
      <c r="N8" s="10"/>
      <c r="O8" s="10"/>
      <c r="P8" s="10"/>
      <c r="Q8" s="10"/>
      <c r="R8" s="10"/>
      <c r="S8" s="10"/>
      <c r="T8" s="10"/>
      <c r="U8" s="10"/>
    </row>
    <row r="9" spans="1:21" s="2" customFormat="1" ht="18.75" x14ac:dyDescent="0.2">
      <c r="A9" s="311" t="s">
        <v>5</v>
      </c>
      <c r="B9" s="311"/>
      <c r="C9" s="311"/>
      <c r="D9" s="11"/>
      <c r="E9" s="11"/>
      <c r="F9" s="11"/>
      <c r="G9" s="11"/>
      <c r="H9" s="10"/>
      <c r="I9" s="10"/>
      <c r="J9" s="10"/>
      <c r="K9" s="10"/>
      <c r="L9" s="10"/>
      <c r="M9" s="10"/>
      <c r="N9" s="10"/>
      <c r="O9" s="10"/>
      <c r="P9" s="10"/>
      <c r="Q9" s="10"/>
      <c r="R9" s="10"/>
      <c r="S9" s="10"/>
      <c r="T9" s="10"/>
      <c r="U9" s="10"/>
    </row>
    <row r="10" spans="1:21" s="2" customFormat="1" ht="18.75" x14ac:dyDescent="0.2">
      <c r="A10" s="312" t="s">
        <v>6</v>
      </c>
      <c r="B10" s="312"/>
      <c r="C10" s="312"/>
      <c r="D10" s="12"/>
      <c r="E10" s="12"/>
      <c r="F10" s="12"/>
      <c r="G10" s="12"/>
      <c r="H10" s="10"/>
      <c r="I10" s="10"/>
      <c r="J10" s="10"/>
      <c r="K10" s="10"/>
      <c r="L10" s="10"/>
      <c r="M10" s="10"/>
      <c r="N10" s="10"/>
      <c r="O10" s="10"/>
      <c r="P10" s="10"/>
      <c r="Q10" s="10"/>
      <c r="R10" s="10"/>
      <c r="S10" s="10"/>
      <c r="T10" s="10"/>
      <c r="U10" s="10"/>
    </row>
    <row r="11" spans="1:21" s="2" customFormat="1" ht="18.75" x14ac:dyDescent="0.2">
      <c r="A11" s="9"/>
      <c r="B11" s="9"/>
      <c r="C11" s="9"/>
      <c r="D11" s="9"/>
      <c r="E11" s="9"/>
      <c r="F11" s="9"/>
      <c r="G11" s="9"/>
      <c r="H11" s="10"/>
      <c r="I11" s="10"/>
      <c r="J11" s="10"/>
      <c r="K11" s="10"/>
      <c r="L11" s="10"/>
      <c r="M11" s="10"/>
      <c r="N11" s="10"/>
      <c r="O11" s="10"/>
      <c r="P11" s="10"/>
      <c r="Q11" s="10"/>
      <c r="R11" s="10"/>
      <c r="S11" s="10"/>
      <c r="T11" s="10"/>
      <c r="U11" s="10"/>
    </row>
    <row r="12" spans="1:21" s="2" customFormat="1" ht="18.75" x14ac:dyDescent="0.2">
      <c r="A12" s="313" t="s">
        <v>7</v>
      </c>
      <c r="B12" s="313"/>
      <c r="C12" s="313"/>
      <c r="D12" s="11"/>
      <c r="E12" s="11"/>
      <c r="F12" s="11"/>
      <c r="G12" s="11"/>
      <c r="H12" s="10"/>
      <c r="I12" s="10"/>
      <c r="J12" s="10"/>
      <c r="K12" s="10"/>
      <c r="L12" s="10"/>
      <c r="M12" s="10"/>
      <c r="N12" s="10"/>
      <c r="O12" s="10"/>
      <c r="P12" s="10"/>
      <c r="Q12" s="10"/>
      <c r="R12" s="10"/>
      <c r="S12" s="10"/>
      <c r="T12" s="10"/>
      <c r="U12" s="10"/>
    </row>
    <row r="13" spans="1:21" s="2" customFormat="1" ht="18.75" x14ac:dyDescent="0.2">
      <c r="A13" s="317" t="s">
        <v>8</v>
      </c>
      <c r="B13" s="317"/>
      <c r="C13" s="317"/>
      <c r="D13" s="12"/>
      <c r="E13" s="12"/>
      <c r="F13" s="12"/>
      <c r="G13" s="12"/>
      <c r="H13" s="10"/>
      <c r="I13" s="10"/>
      <c r="J13" s="10"/>
      <c r="K13" s="10"/>
      <c r="L13" s="10"/>
      <c r="M13" s="10"/>
      <c r="N13" s="10"/>
      <c r="O13" s="10"/>
      <c r="P13" s="10"/>
      <c r="Q13" s="10"/>
      <c r="R13" s="10"/>
      <c r="S13" s="10"/>
      <c r="T13" s="10"/>
      <c r="U13" s="10"/>
    </row>
    <row r="14" spans="1:21" s="2" customFormat="1" ht="15.75" customHeight="1" x14ac:dyDescent="0.2">
      <c r="A14" s="13"/>
      <c r="B14" s="13"/>
      <c r="C14" s="13"/>
      <c r="D14" s="14"/>
      <c r="E14" s="14"/>
      <c r="F14" s="14"/>
      <c r="G14" s="14"/>
      <c r="H14" s="14"/>
      <c r="I14" s="14"/>
      <c r="J14" s="14"/>
      <c r="K14" s="14"/>
      <c r="L14" s="14"/>
      <c r="M14" s="14"/>
      <c r="N14" s="14"/>
      <c r="O14" s="14"/>
      <c r="P14" s="14"/>
      <c r="Q14" s="14"/>
      <c r="R14" s="14"/>
      <c r="S14" s="14"/>
      <c r="T14" s="14"/>
      <c r="U14" s="14"/>
    </row>
    <row r="15" spans="1:21" s="15" customFormat="1" ht="31.5" customHeight="1" x14ac:dyDescent="0.2">
      <c r="A15" s="318" t="s">
        <v>9</v>
      </c>
      <c r="B15" s="319"/>
      <c r="C15" s="319"/>
      <c r="D15" s="11"/>
      <c r="E15" s="11"/>
      <c r="F15" s="11"/>
      <c r="G15" s="11"/>
      <c r="H15" s="11"/>
      <c r="I15" s="11"/>
      <c r="J15" s="11"/>
      <c r="K15" s="11"/>
      <c r="L15" s="11"/>
      <c r="M15" s="11"/>
      <c r="N15" s="11"/>
      <c r="O15" s="11"/>
      <c r="P15" s="11"/>
      <c r="Q15" s="11"/>
      <c r="R15" s="11"/>
      <c r="S15" s="11"/>
      <c r="T15" s="11"/>
      <c r="U15" s="11"/>
    </row>
    <row r="16" spans="1:21" s="15" customFormat="1" ht="15" customHeight="1" x14ac:dyDescent="0.2">
      <c r="A16" s="312" t="s">
        <v>10</v>
      </c>
      <c r="B16" s="312"/>
      <c r="C16" s="312"/>
      <c r="D16" s="12"/>
      <c r="E16" s="12"/>
      <c r="F16" s="12"/>
      <c r="G16" s="12"/>
      <c r="H16" s="12"/>
      <c r="I16" s="12"/>
      <c r="J16" s="12"/>
      <c r="K16" s="12"/>
      <c r="L16" s="12"/>
      <c r="M16" s="12"/>
      <c r="N16" s="12"/>
      <c r="O16" s="12"/>
      <c r="P16" s="12"/>
      <c r="Q16" s="12"/>
      <c r="R16" s="12"/>
      <c r="S16" s="12"/>
      <c r="T16" s="12"/>
      <c r="U16" s="12"/>
    </row>
    <row r="17" spans="1:21" s="15" customFormat="1" ht="15" customHeight="1" x14ac:dyDescent="0.2">
      <c r="A17" s="14"/>
      <c r="B17" s="14"/>
      <c r="C17" s="14"/>
      <c r="D17" s="14"/>
      <c r="E17" s="14"/>
      <c r="F17" s="14"/>
      <c r="G17" s="14"/>
      <c r="H17" s="14"/>
      <c r="I17" s="14"/>
      <c r="J17" s="14"/>
      <c r="K17" s="14"/>
      <c r="L17" s="14"/>
      <c r="M17" s="14"/>
      <c r="N17" s="14"/>
      <c r="O17" s="14"/>
      <c r="P17" s="14"/>
      <c r="Q17" s="14"/>
      <c r="R17" s="14"/>
    </row>
    <row r="18" spans="1:21" s="15" customFormat="1" ht="15" customHeight="1" x14ac:dyDescent="0.2">
      <c r="A18" s="320" t="s">
        <v>11</v>
      </c>
      <c r="B18" s="321"/>
      <c r="C18" s="321"/>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2"/>
      <c r="B19" s="12"/>
      <c r="C19" s="12"/>
      <c r="D19" s="12"/>
      <c r="E19" s="12"/>
      <c r="F19" s="12"/>
      <c r="G19" s="12"/>
      <c r="H19" s="14"/>
      <c r="I19" s="14"/>
      <c r="J19" s="14"/>
      <c r="K19" s="14"/>
      <c r="L19" s="14"/>
      <c r="M19" s="14"/>
      <c r="N19" s="14"/>
      <c r="O19" s="14"/>
      <c r="P19" s="14"/>
      <c r="Q19" s="14"/>
      <c r="R19" s="14"/>
    </row>
    <row r="20" spans="1:21" s="15" customFormat="1" ht="39.75" customHeight="1" x14ac:dyDescent="0.2">
      <c r="A20" s="17" t="s">
        <v>12</v>
      </c>
      <c r="B20" s="18" t="s">
        <v>13</v>
      </c>
      <c r="C20" s="19" t="s">
        <v>14</v>
      </c>
      <c r="D20" s="12"/>
      <c r="E20" s="12"/>
      <c r="F20" s="12"/>
      <c r="G20" s="12"/>
      <c r="H20" s="14"/>
      <c r="I20" s="14"/>
      <c r="J20" s="14"/>
      <c r="K20" s="14"/>
      <c r="L20" s="14"/>
      <c r="M20" s="14"/>
      <c r="N20" s="14"/>
      <c r="O20" s="14"/>
      <c r="P20" s="14"/>
      <c r="Q20" s="14"/>
      <c r="R20" s="14"/>
    </row>
    <row r="21" spans="1:21" s="15" customFormat="1" ht="16.5" customHeight="1" x14ac:dyDescent="0.2">
      <c r="A21" s="19">
        <v>1</v>
      </c>
      <c r="B21" s="18">
        <v>2</v>
      </c>
      <c r="C21" s="19">
        <v>3</v>
      </c>
      <c r="D21" s="12"/>
      <c r="E21" s="12"/>
      <c r="F21" s="12"/>
      <c r="G21" s="12"/>
      <c r="H21" s="14"/>
      <c r="I21" s="14"/>
      <c r="J21" s="14"/>
      <c r="K21" s="14"/>
      <c r="L21" s="14"/>
      <c r="M21" s="14"/>
      <c r="N21" s="14"/>
      <c r="O21" s="14"/>
      <c r="P21" s="14"/>
      <c r="Q21" s="14"/>
      <c r="R21" s="14"/>
    </row>
    <row r="22" spans="1:21" s="15" customFormat="1" ht="39" customHeight="1" x14ac:dyDescent="0.2">
      <c r="A22" s="20" t="s">
        <v>15</v>
      </c>
      <c r="B22" s="21" t="s">
        <v>16</v>
      </c>
      <c r="C22" s="22" t="s">
        <v>17</v>
      </c>
      <c r="D22" s="12"/>
      <c r="E22" s="12"/>
      <c r="F22" s="12"/>
      <c r="G22" s="12"/>
      <c r="H22" s="14"/>
      <c r="I22" s="14"/>
      <c r="J22" s="14"/>
      <c r="K22" s="14"/>
      <c r="L22" s="14"/>
      <c r="M22" s="14"/>
      <c r="N22" s="14"/>
      <c r="O22" s="14"/>
      <c r="P22" s="14"/>
      <c r="Q22" s="14"/>
      <c r="R22" s="14"/>
    </row>
    <row r="23" spans="1:21" s="15" customFormat="1" ht="63" x14ac:dyDescent="0.2">
      <c r="A23" s="20" t="s">
        <v>18</v>
      </c>
      <c r="B23" s="23" t="s">
        <v>19</v>
      </c>
      <c r="C23" s="24" t="s">
        <v>20</v>
      </c>
      <c r="D23" s="12"/>
      <c r="E23" s="12"/>
      <c r="F23" s="12"/>
      <c r="G23" s="12"/>
      <c r="H23" s="14"/>
      <c r="I23" s="14"/>
      <c r="J23" s="14"/>
      <c r="K23" s="14"/>
      <c r="L23" s="14"/>
      <c r="M23" s="14"/>
      <c r="N23" s="14"/>
      <c r="O23" s="14"/>
      <c r="P23" s="14"/>
      <c r="Q23" s="14"/>
      <c r="R23" s="14"/>
    </row>
    <row r="24" spans="1:21" s="15" customFormat="1" ht="22.5" customHeight="1" x14ac:dyDescent="0.2">
      <c r="A24" s="314"/>
      <c r="B24" s="315"/>
      <c r="C24" s="316"/>
      <c r="D24" s="12"/>
      <c r="E24" s="12"/>
      <c r="F24" s="12"/>
      <c r="G24" s="12"/>
      <c r="H24" s="14"/>
      <c r="I24" s="14"/>
      <c r="J24" s="14"/>
      <c r="K24" s="14"/>
      <c r="L24" s="14"/>
      <c r="M24" s="14"/>
      <c r="N24" s="14"/>
      <c r="O24" s="14"/>
      <c r="P24" s="14"/>
      <c r="Q24" s="14"/>
      <c r="R24" s="14"/>
    </row>
    <row r="25" spans="1:21" s="15" customFormat="1" ht="58.5" customHeight="1" x14ac:dyDescent="0.2">
      <c r="A25" s="20" t="s">
        <v>21</v>
      </c>
      <c r="B25" s="22" t="s">
        <v>22</v>
      </c>
      <c r="C25" s="17" t="s">
        <v>23</v>
      </c>
      <c r="D25" s="12"/>
      <c r="E25" s="12"/>
      <c r="F25" s="12"/>
      <c r="G25" s="14"/>
      <c r="H25" s="14"/>
      <c r="I25" s="14"/>
      <c r="J25" s="14"/>
      <c r="K25" s="14"/>
      <c r="L25" s="14"/>
      <c r="M25" s="14"/>
      <c r="N25" s="14"/>
      <c r="O25" s="14"/>
      <c r="P25" s="14"/>
      <c r="Q25" s="14"/>
    </row>
    <row r="26" spans="1:21" s="15" customFormat="1" ht="42.75" customHeight="1" x14ac:dyDescent="0.2">
      <c r="A26" s="20" t="s">
        <v>24</v>
      </c>
      <c r="B26" s="22" t="s">
        <v>25</v>
      </c>
      <c r="C26" s="17" t="s">
        <v>26</v>
      </c>
      <c r="D26" s="12"/>
      <c r="E26" s="12"/>
      <c r="F26" s="12"/>
      <c r="G26" s="14"/>
      <c r="H26" s="14"/>
      <c r="I26" s="14"/>
      <c r="J26" s="14"/>
      <c r="K26" s="14"/>
      <c r="L26" s="14"/>
      <c r="M26" s="14"/>
      <c r="N26" s="14"/>
      <c r="O26" s="14"/>
      <c r="P26" s="14"/>
      <c r="Q26" s="14"/>
    </row>
    <row r="27" spans="1:21" s="15" customFormat="1" ht="51.75" customHeight="1" x14ac:dyDescent="0.2">
      <c r="A27" s="20" t="s">
        <v>27</v>
      </c>
      <c r="B27" s="22" t="s">
        <v>28</v>
      </c>
      <c r="C27" s="25" t="s">
        <v>29</v>
      </c>
      <c r="D27" s="12"/>
      <c r="E27" s="12"/>
      <c r="F27" s="12"/>
      <c r="G27" s="14"/>
      <c r="H27" s="14"/>
      <c r="I27" s="14"/>
      <c r="J27" s="14"/>
      <c r="K27" s="14"/>
      <c r="L27" s="14"/>
      <c r="M27" s="14"/>
      <c r="N27" s="14"/>
      <c r="O27" s="14"/>
      <c r="P27" s="14"/>
      <c r="Q27" s="14"/>
    </row>
    <row r="28" spans="1:21" s="15" customFormat="1" ht="42.75" customHeight="1" x14ac:dyDescent="0.2">
      <c r="A28" s="20" t="s">
        <v>30</v>
      </c>
      <c r="B28" s="22" t="s">
        <v>31</v>
      </c>
      <c r="C28" s="17" t="s">
        <v>32</v>
      </c>
      <c r="D28" s="12"/>
      <c r="E28" s="12"/>
      <c r="F28" s="12"/>
      <c r="G28" s="14"/>
      <c r="H28" s="14"/>
      <c r="I28" s="14"/>
      <c r="J28" s="14"/>
      <c r="K28" s="14"/>
      <c r="L28" s="14"/>
      <c r="M28" s="14"/>
      <c r="N28" s="14"/>
      <c r="O28" s="14"/>
      <c r="P28" s="14"/>
      <c r="Q28" s="14"/>
    </row>
    <row r="29" spans="1:21" s="15" customFormat="1" ht="51.75" customHeight="1" x14ac:dyDescent="0.2">
      <c r="A29" s="20" t="s">
        <v>33</v>
      </c>
      <c r="B29" s="22" t="s">
        <v>34</v>
      </c>
      <c r="C29" s="17" t="s">
        <v>32</v>
      </c>
      <c r="D29" s="12"/>
      <c r="E29" s="12"/>
      <c r="F29" s="12"/>
      <c r="G29" s="14"/>
      <c r="H29" s="14"/>
      <c r="I29" s="14"/>
      <c r="J29" s="14"/>
      <c r="K29" s="14"/>
      <c r="L29" s="14"/>
      <c r="M29" s="14"/>
      <c r="N29" s="14"/>
      <c r="O29" s="14"/>
      <c r="P29" s="14"/>
      <c r="Q29" s="14"/>
    </row>
    <row r="30" spans="1:21" s="15" customFormat="1" ht="51.75" customHeight="1" x14ac:dyDescent="0.2">
      <c r="A30" s="20" t="s">
        <v>35</v>
      </c>
      <c r="B30" s="22" t="s">
        <v>36</v>
      </c>
      <c r="C30" s="17" t="s">
        <v>32</v>
      </c>
      <c r="D30" s="12"/>
      <c r="E30" s="12"/>
      <c r="F30" s="12"/>
      <c r="G30" s="14"/>
      <c r="H30" s="14"/>
      <c r="I30" s="14"/>
      <c r="J30" s="14"/>
      <c r="K30" s="14"/>
      <c r="L30" s="14"/>
      <c r="M30" s="14"/>
      <c r="N30" s="14"/>
      <c r="O30" s="14"/>
      <c r="P30" s="14"/>
      <c r="Q30" s="14"/>
    </row>
    <row r="31" spans="1:21" s="15" customFormat="1" ht="51.75" customHeight="1" x14ac:dyDescent="0.2">
      <c r="A31" s="20" t="s">
        <v>37</v>
      </c>
      <c r="B31" s="22" t="s">
        <v>38</v>
      </c>
      <c r="C31" s="17" t="s">
        <v>32</v>
      </c>
      <c r="D31" s="12"/>
      <c r="E31" s="12"/>
      <c r="F31" s="12"/>
      <c r="G31" s="14"/>
      <c r="H31" s="14"/>
      <c r="I31" s="14"/>
      <c r="J31" s="14"/>
      <c r="K31" s="14"/>
      <c r="L31" s="14"/>
      <c r="M31" s="14"/>
      <c r="N31" s="14"/>
      <c r="O31" s="14"/>
      <c r="P31" s="14"/>
      <c r="Q31" s="14"/>
    </row>
    <row r="32" spans="1:21" s="15" customFormat="1" ht="51.75" customHeight="1" x14ac:dyDescent="0.2">
      <c r="A32" s="20" t="s">
        <v>39</v>
      </c>
      <c r="B32" s="22" t="s">
        <v>40</v>
      </c>
      <c r="C32" s="17" t="s">
        <v>32</v>
      </c>
      <c r="D32" s="12"/>
      <c r="E32" s="12"/>
      <c r="F32" s="12"/>
      <c r="G32" s="14"/>
      <c r="H32" s="14"/>
      <c r="I32" s="14"/>
      <c r="J32" s="14"/>
      <c r="K32" s="14"/>
      <c r="L32" s="14"/>
      <c r="M32" s="14"/>
      <c r="N32" s="14"/>
      <c r="O32" s="14"/>
      <c r="P32" s="14"/>
      <c r="Q32" s="14"/>
    </row>
    <row r="33" spans="1:17" s="15" customFormat="1" ht="101.25" customHeight="1" x14ac:dyDescent="0.2">
      <c r="A33" s="20" t="s">
        <v>41</v>
      </c>
      <c r="B33" s="22" t="s">
        <v>42</v>
      </c>
      <c r="C33" s="22" t="s">
        <v>43</v>
      </c>
      <c r="D33" s="12"/>
      <c r="E33" s="12"/>
      <c r="F33" s="12"/>
      <c r="G33" s="14"/>
      <c r="H33" s="14"/>
      <c r="I33" s="14"/>
      <c r="J33" s="14"/>
      <c r="K33" s="14"/>
      <c r="L33" s="14"/>
      <c r="M33" s="14"/>
      <c r="N33" s="14"/>
      <c r="O33" s="14"/>
      <c r="P33" s="14"/>
      <c r="Q33" s="14"/>
    </row>
    <row r="34" spans="1:17" ht="111" customHeight="1" x14ac:dyDescent="0.25">
      <c r="A34" s="20" t="s">
        <v>44</v>
      </c>
      <c r="B34" s="22" t="s">
        <v>45</v>
      </c>
      <c r="C34" s="17" t="s">
        <v>32</v>
      </c>
    </row>
    <row r="35" spans="1:17" ht="58.5" customHeight="1" x14ac:dyDescent="0.25">
      <c r="A35" s="20" t="s">
        <v>46</v>
      </c>
      <c r="B35" s="22" t="s">
        <v>47</v>
      </c>
      <c r="C35" s="17" t="s">
        <v>48</v>
      </c>
    </row>
    <row r="36" spans="1:17" ht="51.75" customHeight="1" x14ac:dyDescent="0.25">
      <c r="A36" s="20" t="s">
        <v>49</v>
      </c>
      <c r="B36" s="22" t="s">
        <v>50</v>
      </c>
      <c r="C36" s="17" t="s">
        <v>32</v>
      </c>
    </row>
    <row r="37" spans="1:17" ht="43.5" customHeight="1" x14ac:dyDescent="0.25">
      <c r="A37" s="20" t="s">
        <v>51</v>
      </c>
      <c r="B37" s="22" t="s">
        <v>52</v>
      </c>
      <c r="C37" s="17" t="s">
        <v>53</v>
      </c>
    </row>
    <row r="38" spans="1:17" ht="43.5" customHeight="1" x14ac:dyDescent="0.25">
      <c r="A38" s="20" t="s">
        <v>54</v>
      </c>
      <c r="B38" s="22" t="s">
        <v>55</v>
      </c>
      <c r="C38" s="17" t="s">
        <v>48</v>
      </c>
    </row>
    <row r="39" spans="1:17" ht="23.25" customHeight="1" x14ac:dyDescent="0.25">
      <c r="A39" s="314"/>
      <c r="B39" s="315"/>
      <c r="C39" s="316"/>
    </row>
    <row r="40" spans="1:17" ht="63" x14ac:dyDescent="0.25">
      <c r="A40" s="20" t="s">
        <v>56</v>
      </c>
      <c r="B40" s="22" t="s">
        <v>57</v>
      </c>
      <c r="C40" s="26" t="s">
        <v>58</v>
      </c>
    </row>
    <row r="41" spans="1:17" ht="105.75" customHeight="1" x14ac:dyDescent="0.25">
      <c r="A41" s="20" t="s">
        <v>59</v>
      </c>
      <c r="B41" s="22" t="s">
        <v>60</v>
      </c>
      <c r="C41" s="27" t="s">
        <v>61</v>
      </c>
    </row>
    <row r="42" spans="1:17" ht="83.25" customHeight="1" x14ac:dyDescent="0.25">
      <c r="A42" s="20" t="s">
        <v>62</v>
      </c>
      <c r="B42" s="22" t="s">
        <v>63</v>
      </c>
      <c r="C42" s="27" t="s">
        <v>61</v>
      </c>
    </row>
    <row r="43" spans="1:17" ht="186" customHeight="1" x14ac:dyDescent="0.25">
      <c r="A43" s="20" t="s">
        <v>64</v>
      </c>
      <c r="B43" s="22" t="s">
        <v>65</v>
      </c>
      <c r="C43" s="27" t="s">
        <v>23</v>
      </c>
    </row>
    <row r="44" spans="1:17" ht="111" customHeight="1" x14ac:dyDescent="0.25">
      <c r="A44" s="20" t="s">
        <v>66</v>
      </c>
      <c r="B44" s="22" t="s">
        <v>67</v>
      </c>
      <c r="C44" s="27" t="s">
        <v>23</v>
      </c>
    </row>
    <row r="45" spans="1:17" ht="89.25" customHeight="1" x14ac:dyDescent="0.25">
      <c r="A45" s="20" t="s">
        <v>68</v>
      </c>
      <c r="B45" s="22" t="s">
        <v>69</v>
      </c>
      <c r="C45" s="27" t="s">
        <v>23</v>
      </c>
    </row>
    <row r="46" spans="1:17" ht="101.25" customHeight="1" x14ac:dyDescent="0.25">
      <c r="A46" s="20" t="s">
        <v>70</v>
      </c>
      <c r="B46" s="22" t="s">
        <v>71</v>
      </c>
      <c r="C46" s="27" t="s">
        <v>23</v>
      </c>
    </row>
    <row r="47" spans="1:17" ht="18.75" customHeight="1" x14ac:dyDescent="0.25">
      <c r="A47" s="314"/>
      <c r="B47" s="315"/>
      <c r="C47" s="316"/>
    </row>
    <row r="48" spans="1:17" ht="75.75" customHeight="1" x14ac:dyDescent="0.25">
      <c r="A48" s="20" t="s">
        <v>72</v>
      </c>
      <c r="B48" s="22" t="s">
        <v>73</v>
      </c>
      <c r="C48" s="28" t="str">
        <f>CONCATENATE(ROUND('6.2. Паспорт фин осв ввод'!AC24,2)," млн рублей")</f>
        <v>16,78 млн рублей</v>
      </c>
    </row>
    <row r="49" spans="1:3" ht="71.25" customHeight="1" x14ac:dyDescent="0.25">
      <c r="A49" s="20" t="s">
        <v>74</v>
      </c>
      <c r="B49" s="22" t="s">
        <v>75</v>
      </c>
      <c r="C49" s="28" t="str">
        <f>CONCATENATE(ROUND('6.2. Паспорт фин осв ввод'!AC30,2)," млн рублей")</f>
        <v>13,99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dataValidations count="6">
    <dataValidation type="list" allowBlank="1" showInputMessage="1" showErrorMessage="1" sqref="C22" xr:uid="{00010053-00CF-4DC8-804D-00BA00FD0003}">
      <formula1>список</formula1>
    </dataValidation>
    <dataValidation type="list" allowBlank="1" showInputMessage="1" showErrorMessage="1" sqref="C23" xr:uid="{008C0004-002C-40B6-AFDD-003200AB00F7}">
      <formula1>список1</formula1>
    </dataValidation>
    <dataValidation type="list" allowBlank="1" showInputMessage="1" showErrorMessage="1" sqref="C27" xr:uid="{003F005E-0060-488B-8CEF-0087001500D4}">
      <formula1>список2</formula1>
    </dataValidation>
    <dataValidation type="list" allowBlank="1" showInputMessage="1" showErrorMessage="1" sqref="C36:C38 C34 C28:C32" xr:uid="{0049000D-009C-4C45-BAC2-005500EB0060}">
      <formula1>список6</formula1>
    </dataValidation>
    <dataValidation type="list" allowBlank="1" showInputMessage="1" showErrorMessage="1" sqref="C33" xr:uid="{008F0062-0036-4297-9B4F-00E200C80099}">
      <formula1>список7</formula1>
    </dataValidation>
    <dataValidation type="list" allowBlank="1" showInputMessage="1" showErrorMessage="1" sqref="C35" xr:uid="{00950024-0079-4BC0-B410-0075009400E1}">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4" ySplit="5" topLeftCell="E25" activePane="bottomRight" state="frozen"/>
      <selection activeCell="N30" sqref="N30"/>
      <selection pane="topRight" activeCell="A20" sqref="A20"/>
      <selection pane="bottomLeft" activeCell="A20" sqref="A20"/>
      <selection pane="bottomRight" activeCell="B20" sqref="B20:B22"/>
    </sheetView>
  </sheetViews>
  <sheetFormatPr defaultColWidth="9.140625" defaultRowHeight="15.75" x14ac:dyDescent="0.25"/>
  <cols>
    <col min="1" max="1" width="9.140625" style="190"/>
    <col min="2" max="2" width="57.85546875" style="190" customWidth="1"/>
    <col min="3" max="3" width="13" style="190" customWidth="1"/>
    <col min="4" max="4" width="17.85546875" style="190" customWidth="1"/>
    <col min="5" max="6" width="19" style="190" customWidth="1"/>
    <col min="7" max="7" width="18.7109375" style="190" customWidth="1"/>
    <col min="8" max="27" width="9" style="190" customWidth="1"/>
    <col min="28" max="28" width="13.140625" style="190" customWidth="1"/>
    <col min="29" max="29" width="24.85546875" style="190" customWidth="1"/>
    <col min="30" max="30" width="11" style="190" bestFit="1" customWidth="1"/>
    <col min="31" max="31" width="10.7109375" style="190" customWidth="1"/>
    <col min="32" max="16384" width="9.140625" style="190"/>
  </cols>
  <sheetData>
    <row r="1" spans="1:29" ht="18.75" x14ac:dyDescent="0.25">
      <c r="AC1" s="4" t="s">
        <v>0</v>
      </c>
    </row>
    <row r="2" spans="1:29" ht="18.75" x14ac:dyDescent="0.3">
      <c r="AC2" s="5" t="s">
        <v>1</v>
      </c>
    </row>
    <row r="3" spans="1:29" ht="18.75" x14ac:dyDescent="0.3">
      <c r="AC3" s="5" t="s">
        <v>2</v>
      </c>
    </row>
    <row r="4" spans="1:29" ht="18.75" customHeight="1" x14ac:dyDescent="0.25">
      <c r="A4" s="309" t="str">
        <f>'6.1. Паспорт сетевой график'!A5:K5</f>
        <v>Год раскрытия информации: 2025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row>
    <row r="5" spans="1:29" ht="18.75" x14ac:dyDescent="0.3">
      <c r="AC5" s="5"/>
    </row>
    <row r="6" spans="1:29" ht="18.75" x14ac:dyDescent="0.25">
      <c r="A6" s="380" t="s">
        <v>4</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10"/>
      <c r="AC7" s="210"/>
    </row>
    <row r="8" spans="1:29" x14ac:dyDescent="0.25">
      <c r="A8" s="381" t="str">
        <f>'6.1. Паспорт сетевой график'!A9</f>
        <v>Акционерное общество "Россети Янтарь" ДЗО  ПАО "Россети"</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row>
    <row r="9" spans="1:29" ht="18.75" customHeight="1"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x14ac:dyDescent="0.25">
      <c r="A10" s="209"/>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10"/>
      <c r="AC10" s="210"/>
    </row>
    <row r="11" spans="1:29" x14ac:dyDescent="0.25">
      <c r="A11" s="381" t="str">
        <f>'6.1. Паспорт сетевой график'!A12</f>
        <v>H_16-0403</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row>
    <row r="12" spans="1:29" x14ac:dyDescent="0.25">
      <c r="A12" s="317" t="s">
        <v>8</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ht="16.5" customHeight="1" x14ac:dyDescent="0.3">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2"/>
      <c r="AC13" s="212"/>
    </row>
    <row r="14" spans="1:29" ht="36" customHeight="1" x14ac:dyDescent="0.25">
      <c r="A14" s="319" t="str">
        <f>'6.1. Паспорт сетевой график'!A15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row>
    <row r="15" spans="1:29" ht="15.75" customHeight="1" x14ac:dyDescent="0.25">
      <c r="A15" s="317" t="s">
        <v>10</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row>
    <row r="18" spans="1:32" x14ac:dyDescent="0.25">
      <c r="A18" s="383" t="s">
        <v>388</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row>
    <row r="20" spans="1:32" ht="33" customHeight="1" x14ac:dyDescent="0.25">
      <c r="A20" s="376" t="s">
        <v>389</v>
      </c>
      <c r="B20" s="376" t="s">
        <v>390</v>
      </c>
      <c r="C20" s="374" t="s">
        <v>391</v>
      </c>
      <c r="D20" s="374"/>
      <c r="E20" s="375" t="s">
        <v>392</v>
      </c>
      <c r="F20" s="375"/>
      <c r="G20" s="384" t="s">
        <v>393</v>
      </c>
      <c r="H20" s="388" t="s">
        <v>394</v>
      </c>
      <c r="I20" s="389"/>
      <c r="J20" s="389"/>
      <c r="K20" s="389"/>
      <c r="L20" s="388" t="s">
        <v>395</v>
      </c>
      <c r="M20" s="389"/>
      <c r="N20" s="389"/>
      <c r="O20" s="389"/>
      <c r="P20" s="388" t="s">
        <v>396</v>
      </c>
      <c r="Q20" s="389"/>
      <c r="R20" s="389"/>
      <c r="S20" s="389"/>
      <c r="T20" s="388" t="s">
        <v>397</v>
      </c>
      <c r="U20" s="389"/>
      <c r="V20" s="389"/>
      <c r="W20" s="389"/>
      <c r="X20" s="388" t="s">
        <v>398</v>
      </c>
      <c r="Y20" s="389"/>
      <c r="Z20" s="389"/>
      <c r="AA20" s="389"/>
      <c r="AB20" s="387" t="s">
        <v>399</v>
      </c>
      <c r="AC20" s="387"/>
      <c r="AD20" s="213"/>
      <c r="AE20" s="213"/>
      <c r="AF20" s="213"/>
    </row>
    <row r="21" spans="1:32" ht="99.75" customHeight="1" x14ac:dyDescent="0.25">
      <c r="A21" s="377"/>
      <c r="B21" s="377"/>
      <c r="C21" s="374"/>
      <c r="D21" s="374"/>
      <c r="E21" s="375"/>
      <c r="F21" s="375"/>
      <c r="G21" s="385"/>
      <c r="H21" s="374" t="s">
        <v>325</v>
      </c>
      <c r="I21" s="374"/>
      <c r="J21" s="374" t="s">
        <v>326</v>
      </c>
      <c r="K21" s="374"/>
      <c r="L21" s="374" t="s">
        <v>325</v>
      </c>
      <c r="M21" s="374"/>
      <c r="N21" s="374" t="s">
        <v>326</v>
      </c>
      <c r="O21" s="374"/>
      <c r="P21" s="374" t="s">
        <v>325</v>
      </c>
      <c r="Q21" s="374"/>
      <c r="R21" s="374" t="s">
        <v>326</v>
      </c>
      <c r="S21" s="374"/>
      <c r="T21" s="374" t="s">
        <v>325</v>
      </c>
      <c r="U21" s="374"/>
      <c r="V21" s="374" t="s">
        <v>326</v>
      </c>
      <c r="W21" s="374"/>
      <c r="X21" s="374" t="s">
        <v>325</v>
      </c>
      <c r="Y21" s="374"/>
      <c r="Z21" s="374" t="s">
        <v>326</v>
      </c>
      <c r="AA21" s="374"/>
      <c r="AB21" s="387"/>
      <c r="AC21" s="387"/>
    </row>
    <row r="22" spans="1:32" ht="89.25" customHeight="1" x14ac:dyDescent="0.25">
      <c r="A22" s="378"/>
      <c r="B22" s="378"/>
      <c r="C22" s="195" t="s">
        <v>325</v>
      </c>
      <c r="D22" s="195" t="s">
        <v>327</v>
      </c>
      <c r="E22" s="214" t="s">
        <v>400</v>
      </c>
      <c r="F22" s="214" t="s">
        <v>401</v>
      </c>
      <c r="G22" s="386"/>
      <c r="H22" s="215" t="s">
        <v>402</v>
      </c>
      <c r="I22" s="215" t="s">
        <v>403</v>
      </c>
      <c r="J22" s="215" t="s">
        <v>402</v>
      </c>
      <c r="K22" s="215" t="s">
        <v>403</v>
      </c>
      <c r="L22" s="215" t="s">
        <v>402</v>
      </c>
      <c r="M22" s="215" t="s">
        <v>403</v>
      </c>
      <c r="N22" s="215" t="s">
        <v>402</v>
      </c>
      <c r="O22" s="215" t="s">
        <v>403</v>
      </c>
      <c r="P22" s="215" t="s">
        <v>402</v>
      </c>
      <c r="Q22" s="215" t="s">
        <v>403</v>
      </c>
      <c r="R22" s="215" t="s">
        <v>402</v>
      </c>
      <c r="S22" s="215" t="s">
        <v>403</v>
      </c>
      <c r="T22" s="215" t="s">
        <v>402</v>
      </c>
      <c r="U22" s="215" t="s">
        <v>403</v>
      </c>
      <c r="V22" s="215" t="s">
        <v>402</v>
      </c>
      <c r="W22" s="215" t="s">
        <v>403</v>
      </c>
      <c r="X22" s="215" t="s">
        <v>402</v>
      </c>
      <c r="Y22" s="215" t="s">
        <v>403</v>
      </c>
      <c r="Z22" s="215" t="s">
        <v>402</v>
      </c>
      <c r="AA22" s="215" t="s">
        <v>403</v>
      </c>
      <c r="AB22" s="195" t="s">
        <v>325</v>
      </c>
      <c r="AC22" s="195" t="s">
        <v>326</v>
      </c>
    </row>
    <row r="23" spans="1:32" ht="19.5" customHeight="1" x14ac:dyDescent="0.25">
      <c r="A23" s="194">
        <v>1</v>
      </c>
      <c r="B23" s="194">
        <v>2</v>
      </c>
      <c r="C23" s="194">
        <v>3</v>
      </c>
      <c r="D23" s="194">
        <v>4</v>
      </c>
      <c r="E23" s="194">
        <v>5</v>
      </c>
      <c r="F23" s="194">
        <v>6</v>
      </c>
      <c r="G23" s="194">
        <v>7</v>
      </c>
      <c r="H23" s="194">
        <v>8</v>
      </c>
      <c r="I23" s="194">
        <v>9</v>
      </c>
      <c r="J23" s="194">
        <v>10</v>
      </c>
      <c r="K23" s="194">
        <v>11</v>
      </c>
      <c r="L23" s="194">
        <v>12</v>
      </c>
      <c r="M23" s="194">
        <v>13</v>
      </c>
      <c r="N23" s="194">
        <v>14</v>
      </c>
      <c r="O23" s="194">
        <v>15</v>
      </c>
      <c r="P23" s="194">
        <v>16</v>
      </c>
      <c r="Q23" s="194">
        <v>17</v>
      </c>
      <c r="R23" s="194">
        <v>18</v>
      </c>
      <c r="S23" s="194">
        <v>19</v>
      </c>
      <c r="T23" s="194">
        <v>20</v>
      </c>
      <c r="U23" s="194">
        <v>21</v>
      </c>
      <c r="V23" s="194">
        <v>22</v>
      </c>
      <c r="W23" s="194">
        <v>23</v>
      </c>
      <c r="X23" s="194">
        <v>24</v>
      </c>
      <c r="Y23" s="194">
        <v>25</v>
      </c>
      <c r="Z23" s="194">
        <v>26</v>
      </c>
      <c r="AA23" s="194">
        <v>27</v>
      </c>
      <c r="AB23" s="194">
        <v>28</v>
      </c>
      <c r="AC23" s="194">
        <v>29</v>
      </c>
    </row>
    <row r="24" spans="1:32" ht="47.25" customHeight="1" x14ac:dyDescent="0.25">
      <c r="A24" s="216">
        <v>1</v>
      </c>
      <c r="B24" s="217" t="s">
        <v>404</v>
      </c>
      <c r="C24" s="218">
        <f>SUM(C25:C29)</f>
        <v>19.574830009999999</v>
      </c>
      <c r="D24" s="218">
        <f>SUM(D25:D29)</f>
        <v>0</v>
      </c>
      <c r="E24" s="218">
        <f>SUM(E25:E29)</f>
        <v>17.78153292</v>
      </c>
      <c r="F24" s="218">
        <f t="shared" ref="F24:AA24" si="0">SUM(F25:F29)</f>
        <v>8.1185298200000009</v>
      </c>
      <c r="G24" s="218">
        <f>SUM(G25:G29)</f>
        <v>0</v>
      </c>
      <c r="H24" s="218">
        <f t="shared" si="0"/>
        <v>17.78153292</v>
      </c>
      <c r="I24" s="218">
        <f>SUM(I25:I29)</f>
        <v>0</v>
      </c>
      <c r="J24" s="218">
        <f t="shared" ref="J24:K24" si="1">SUM(J25:J29)</f>
        <v>9.6630030999999992</v>
      </c>
      <c r="K24" s="218">
        <f t="shared" si="1"/>
        <v>0</v>
      </c>
      <c r="L24" s="218">
        <f t="shared" si="0"/>
        <v>0</v>
      </c>
      <c r="M24" s="218">
        <f t="shared" si="0"/>
        <v>0</v>
      </c>
      <c r="N24" s="218">
        <f t="shared" si="0"/>
        <v>7.1191326100000003</v>
      </c>
      <c r="O24" s="218">
        <f t="shared" ref="O24" si="2">SUM(O25:O29)</f>
        <v>0</v>
      </c>
      <c r="P24" s="218">
        <f t="shared" si="0"/>
        <v>0</v>
      </c>
      <c r="Q24" s="218">
        <f t="shared" si="0"/>
        <v>0</v>
      </c>
      <c r="R24" s="218">
        <f t="shared" si="0"/>
        <v>0</v>
      </c>
      <c r="S24" s="218">
        <f t="shared" si="0"/>
        <v>0</v>
      </c>
      <c r="T24" s="218">
        <f t="shared" si="0"/>
        <v>0</v>
      </c>
      <c r="U24" s="218">
        <f t="shared" si="0"/>
        <v>0</v>
      </c>
      <c r="V24" s="218">
        <f t="shared" si="0"/>
        <v>0</v>
      </c>
      <c r="W24" s="218">
        <f t="shared" si="0"/>
        <v>0</v>
      </c>
      <c r="X24" s="218">
        <f t="shared" si="0"/>
        <v>0</v>
      </c>
      <c r="Y24" s="218">
        <f t="shared" si="0"/>
        <v>0</v>
      </c>
      <c r="Z24" s="218">
        <f t="shared" si="0"/>
        <v>0</v>
      </c>
      <c r="AA24" s="218">
        <f t="shared" si="0"/>
        <v>0</v>
      </c>
      <c r="AB24" s="218">
        <f t="shared" ref="AB24:AB64" si="3">H24+L24+P24+T24+X24</f>
        <v>17.78153292</v>
      </c>
      <c r="AC24" s="219">
        <f t="shared" ref="AC24:AC64" si="4">J24+N24+R24+V24+Z24</f>
        <v>16.782135709999999</v>
      </c>
      <c r="AE24" s="220">
        <f>AC24+1.79329709+G24</f>
        <v>18.575432799999998</v>
      </c>
    </row>
    <row r="25" spans="1:32" ht="24" customHeight="1" x14ac:dyDescent="0.25">
      <c r="A25" s="221" t="s">
        <v>405</v>
      </c>
      <c r="B25" s="222" t="s">
        <v>406</v>
      </c>
      <c r="C25" s="218">
        <v>0</v>
      </c>
      <c r="D25" s="218">
        <v>0</v>
      </c>
      <c r="E25" s="218">
        <f t="shared" ref="E25:E26" si="5">C25</f>
        <v>0</v>
      </c>
      <c r="F25" s="218">
        <f t="shared" ref="F25:F64" si="6">E25-G25-J25</f>
        <v>0</v>
      </c>
      <c r="G25" s="223">
        <v>0</v>
      </c>
      <c r="H25" s="223">
        <v>0</v>
      </c>
      <c r="I25" s="223">
        <v>0</v>
      </c>
      <c r="J25" s="223">
        <v>0</v>
      </c>
      <c r="K25" s="223">
        <v>0</v>
      </c>
      <c r="L25" s="223">
        <v>0</v>
      </c>
      <c r="M25" s="223">
        <v>0</v>
      </c>
      <c r="N25" s="223">
        <v>0</v>
      </c>
      <c r="O25" s="223">
        <v>0</v>
      </c>
      <c r="P25" s="223">
        <v>0</v>
      </c>
      <c r="Q25" s="223">
        <v>0</v>
      </c>
      <c r="R25" s="223">
        <v>0</v>
      </c>
      <c r="S25" s="223">
        <v>0</v>
      </c>
      <c r="T25" s="223">
        <v>0</v>
      </c>
      <c r="U25" s="223">
        <v>0</v>
      </c>
      <c r="V25" s="223">
        <v>0</v>
      </c>
      <c r="W25" s="223">
        <v>0</v>
      </c>
      <c r="X25" s="223">
        <v>0</v>
      </c>
      <c r="Y25" s="223">
        <v>0</v>
      </c>
      <c r="Z25" s="223">
        <v>0</v>
      </c>
      <c r="AA25" s="223">
        <v>0</v>
      </c>
      <c r="AB25" s="218">
        <f t="shared" si="3"/>
        <v>0</v>
      </c>
      <c r="AC25" s="219">
        <f t="shared" si="4"/>
        <v>0</v>
      </c>
    </row>
    <row r="26" spans="1:32" x14ac:dyDescent="0.25">
      <c r="A26" s="221" t="s">
        <v>407</v>
      </c>
      <c r="B26" s="222" t="s">
        <v>408</v>
      </c>
      <c r="C26" s="218">
        <v>0</v>
      </c>
      <c r="D26" s="218">
        <v>0</v>
      </c>
      <c r="E26" s="218">
        <f t="shared" si="5"/>
        <v>0</v>
      </c>
      <c r="F26" s="218">
        <f t="shared" si="6"/>
        <v>0</v>
      </c>
      <c r="G26" s="223">
        <v>0</v>
      </c>
      <c r="H26" s="223">
        <v>0</v>
      </c>
      <c r="I26" s="223">
        <v>0</v>
      </c>
      <c r="J26" s="223">
        <v>0</v>
      </c>
      <c r="K26" s="223">
        <v>0</v>
      </c>
      <c r="L26" s="223">
        <v>0</v>
      </c>
      <c r="M26" s="223">
        <v>0</v>
      </c>
      <c r="N26" s="223">
        <v>0</v>
      </c>
      <c r="O26" s="223">
        <v>0</v>
      </c>
      <c r="P26" s="223">
        <v>0</v>
      </c>
      <c r="Q26" s="223">
        <v>0</v>
      </c>
      <c r="R26" s="223">
        <v>0</v>
      </c>
      <c r="S26" s="223">
        <v>0</v>
      </c>
      <c r="T26" s="223">
        <v>0</v>
      </c>
      <c r="U26" s="223">
        <v>0</v>
      </c>
      <c r="V26" s="223">
        <v>0</v>
      </c>
      <c r="W26" s="223">
        <v>0</v>
      </c>
      <c r="X26" s="223">
        <v>0</v>
      </c>
      <c r="Y26" s="223">
        <v>0</v>
      </c>
      <c r="Z26" s="223">
        <v>0</v>
      </c>
      <c r="AA26" s="223">
        <v>0</v>
      </c>
      <c r="AB26" s="218">
        <f t="shared" si="3"/>
        <v>0</v>
      </c>
      <c r="AC26" s="219">
        <f t="shared" si="4"/>
        <v>0</v>
      </c>
    </row>
    <row r="27" spans="1:32" ht="31.5" x14ac:dyDescent="0.25">
      <c r="A27" s="221" t="s">
        <v>409</v>
      </c>
      <c r="B27" s="222" t="s">
        <v>410</v>
      </c>
      <c r="C27" s="218">
        <v>19.574830009999999</v>
      </c>
      <c r="D27" s="218">
        <v>0</v>
      </c>
      <c r="E27" s="218">
        <f>C27-1.79329709</f>
        <v>17.78153292</v>
      </c>
      <c r="F27" s="218">
        <f t="shared" si="6"/>
        <v>8.1185298200000009</v>
      </c>
      <c r="G27" s="223">
        <v>0</v>
      </c>
      <c r="H27" s="223">
        <v>17.78153292</v>
      </c>
      <c r="I27" s="223">
        <v>0</v>
      </c>
      <c r="J27" s="223">
        <v>9.6630030999999992</v>
      </c>
      <c r="K27" s="223">
        <v>0</v>
      </c>
      <c r="L27" s="223">
        <v>0</v>
      </c>
      <c r="M27" s="223">
        <v>0</v>
      </c>
      <c r="N27" s="223">
        <v>7.1191326100000003</v>
      </c>
      <c r="O27" s="223">
        <v>0</v>
      </c>
      <c r="P27" s="223">
        <v>0</v>
      </c>
      <c r="Q27" s="223">
        <v>0</v>
      </c>
      <c r="R27" s="223">
        <v>0</v>
      </c>
      <c r="S27" s="223">
        <v>0</v>
      </c>
      <c r="T27" s="223">
        <v>0</v>
      </c>
      <c r="U27" s="223">
        <v>0</v>
      </c>
      <c r="V27" s="223">
        <v>0</v>
      </c>
      <c r="W27" s="223">
        <v>0</v>
      </c>
      <c r="X27" s="223">
        <v>0</v>
      </c>
      <c r="Y27" s="223">
        <v>0</v>
      </c>
      <c r="Z27" s="223">
        <v>0</v>
      </c>
      <c r="AA27" s="223">
        <v>0</v>
      </c>
      <c r="AB27" s="218">
        <f t="shared" si="3"/>
        <v>17.78153292</v>
      </c>
      <c r="AC27" s="219">
        <f t="shared" si="4"/>
        <v>16.782135709999999</v>
      </c>
    </row>
    <row r="28" spans="1:32" x14ac:dyDescent="0.25">
      <c r="A28" s="221" t="s">
        <v>411</v>
      </c>
      <c r="B28" s="222" t="s">
        <v>412</v>
      </c>
      <c r="C28" s="218">
        <v>0</v>
      </c>
      <c r="D28" s="218">
        <v>0</v>
      </c>
      <c r="E28" s="218">
        <f t="shared" ref="E28:E29" si="7">C28</f>
        <v>0</v>
      </c>
      <c r="F28" s="218">
        <f t="shared" si="6"/>
        <v>0</v>
      </c>
      <c r="G28" s="223">
        <v>0</v>
      </c>
      <c r="H28" s="223">
        <v>0</v>
      </c>
      <c r="I28" s="223">
        <v>0</v>
      </c>
      <c r="J28" s="223">
        <v>0</v>
      </c>
      <c r="K28" s="223">
        <v>0</v>
      </c>
      <c r="L28" s="223">
        <v>0</v>
      </c>
      <c r="M28" s="223">
        <v>0</v>
      </c>
      <c r="N28" s="223">
        <v>0</v>
      </c>
      <c r="O28" s="223">
        <v>0</v>
      </c>
      <c r="P28" s="223">
        <v>0</v>
      </c>
      <c r="Q28" s="223">
        <v>0</v>
      </c>
      <c r="R28" s="223">
        <v>0</v>
      </c>
      <c r="S28" s="223">
        <v>0</v>
      </c>
      <c r="T28" s="223">
        <v>0</v>
      </c>
      <c r="U28" s="223">
        <v>0</v>
      </c>
      <c r="V28" s="223">
        <v>0</v>
      </c>
      <c r="W28" s="223">
        <v>0</v>
      </c>
      <c r="X28" s="223">
        <v>0</v>
      </c>
      <c r="Y28" s="223">
        <v>0</v>
      </c>
      <c r="Z28" s="223">
        <v>0</v>
      </c>
      <c r="AA28" s="223">
        <v>0</v>
      </c>
      <c r="AB28" s="218">
        <f t="shared" si="3"/>
        <v>0</v>
      </c>
      <c r="AC28" s="219">
        <f t="shared" si="4"/>
        <v>0</v>
      </c>
    </row>
    <row r="29" spans="1:32" x14ac:dyDescent="0.25">
      <c r="A29" s="221" t="s">
        <v>413</v>
      </c>
      <c r="B29" s="224" t="s">
        <v>414</v>
      </c>
      <c r="C29" s="218">
        <v>0</v>
      </c>
      <c r="D29" s="218">
        <v>0</v>
      </c>
      <c r="E29" s="218">
        <f t="shared" si="7"/>
        <v>0</v>
      </c>
      <c r="F29" s="218">
        <f t="shared" si="6"/>
        <v>0</v>
      </c>
      <c r="G29" s="223">
        <v>0</v>
      </c>
      <c r="H29" s="223">
        <v>0</v>
      </c>
      <c r="I29" s="223">
        <v>0</v>
      </c>
      <c r="J29" s="223">
        <v>0</v>
      </c>
      <c r="K29" s="223">
        <v>0</v>
      </c>
      <c r="L29" s="223">
        <v>0</v>
      </c>
      <c r="M29" s="223">
        <v>0</v>
      </c>
      <c r="N29" s="223">
        <v>0</v>
      </c>
      <c r="O29" s="223">
        <v>0</v>
      </c>
      <c r="P29" s="223">
        <v>0</v>
      </c>
      <c r="Q29" s="223">
        <v>0</v>
      </c>
      <c r="R29" s="223">
        <v>0</v>
      </c>
      <c r="S29" s="223">
        <v>0</v>
      </c>
      <c r="T29" s="223">
        <v>0</v>
      </c>
      <c r="U29" s="223">
        <v>0</v>
      </c>
      <c r="V29" s="223">
        <v>0</v>
      </c>
      <c r="W29" s="223">
        <v>0</v>
      </c>
      <c r="X29" s="223">
        <v>0</v>
      </c>
      <c r="Y29" s="223">
        <v>0</v>
      </c>
      <c r="Z29" s="223">
        <v>0</v>
      </c>
      <c r="AA29" s="223">
        <v>0</v>
      </c>
      <c r="AB29" s="218">
        <f t="shared" si="3"/>
        <v>0</v>
      </c>
      <c r="AC29" s="219">
        <f t="shared" si="4"/>
        <v>0</v>
      </c>
    </row>
    <row r="30" spans="1:32" s="225" customFormat="1" ht="47.25" x14ac:dyDescent="0.25">
      <c r="A30" s="216" t="s">
        <v>18</v>
      </c>
      <c r="B30" s="217" t="s">
        <v>415</v>
      </c>
      <c r="C30" s="218">
        <f>SUM(C31:C34)</f>
        <v>16.566533010000001</v>
      </c>
      <c r="D30" s="218">
        <f>SUM(D31:D34)</f>
        <v>0</v>
      </c>
      <c r="E30" s="218">
        <f t="shared" ref="E30:AA30" si="8">SUM(E31:E34)</f>
        <v>14.8179441</v>
      </c>
      <c r="F30" s="218">
        <f t="shared" si="8"/>
        <v>6.7654415200000004</v>
      </c>
      <c r="G30" s="218">
        <f>SUM(G31:G34)</f>
        <v>0</v>
      </c>
      <c r="H30" s="218">
        <f t="shared" si="8"/>
        <v>14.8179441</v>
      </c>
      <c r="I30" s="218">
        <f>SUM(I31:I34)</f>
        <v>0</v>
      </c>
      <c r="J30" s="218">
        <f t="shared" ref="J30:K30" si="9">SUM(J31:J34)</f>
        <v>8.0525025800000005</v>
      </c>
      <c r="K30" s="218">
        <f t="shared" si="9"/>
        <v>0</v>
      </c>
      <c r="L30" s="218">
        <f t="shared" si="8"/>
        <v>0</v>
      </c>
      <c r="M30" s="218">
        <f t="shared" si="8"/>
        <v>0</v>
      </c>
      <c r="N30" s="218">
        <f t="shared" si="8"/>
        <v>5.9326105099999991</v>
      </c>
      <c r="O30" s="218">
        <f t="shared" ref="O30" si="10">SUM(O31:O34)</f>
        <v>0</v>
      </c>
      <c r="P30" s="218">
        <f t="shared" si="8"/>
        <v>0</v>
      </c>
      <c r="Q30" s="218">
        <f t="shared" si="8"/>
        <v>0</v>
      </c>
      <c r="R30" s="218">
        <f t="shared" si="8"/>
        <v>0</v>
      </c>
      <c r="S30" s="218">
        <f t="shared" si="8"/>
        <v>0</v>
      </c>
      <c r="T30" s="218">
        <f t="shared" si="8"/>
        <v>0</v>
      </c>
      <c r="U30" s="218">
        <f t="shared" si="8"/>
        <v>0</v>
      </c>
      <c r="V30" s="218">
        <f t="shared" si="8"/>
        <v>0</v>
      </c>
      <c r="W30" s="218">
        <f t="shared" si="8"/>
        <v>0</v>
      </c>
      <c r="X30" s="218">
        <f t="shared" si="8"/>
        <v>0</v>
      </c>
      <c r="Y30" s="218">
        <f t="shared" si="8"/>
        <v>0</v>
      </c>
      <c r="Z30" s="218">
        <f t="shared" si="8"/>
        <v>0</v>
      </c>
      <c r="AA30" s="218">
        <f t="shared" si="8"/>
        <v>0</v>
      </c>
      <c r="AB30" s="218">
        <f t="shared" si="3"/>
        <v>14.8179441</v>
      </c>
      <c r="AC30" s="219">
        <f t="shared" si="4"/>
        <v>13.985113089999999</v>
      </c>
      <c r="AD30" s="190"/>
      <c r="AE30" s="220"/>
    </row>
    <row r="31" spans="1:32" x14ac:dyDescent="0.25">
      <c r="A31" s="216" t="s">
        <v>416</v>
      </c>
      <c r="B31" s="222" t="s">
        <v>417</v>
      </c>
      <c r="C31" s="218">
        <v>1.5250480099999999</v>
      </c>
      <c r="D31" s="218">
        <v>0</v>
      </c>
      <c r="E31" s="218">
        <f>C31-1.52504801</f>
        <v>0</v>
      </c>
      <c r="F31" s="218">
        <f t="shared" si="6"/>
        <v>0</v>
      </c>
      <c r="G31" s="223">
        <v>0</v>
      </c>
      <c r="H31" s="223">
        <v>0</v>
      </c>
      <c r="I31" s="223">
        <v>0</v>
      </c>
      <c r="J31" s="223">
        <v>0</v>
      </c>
      <c r="K31" s="223">
        <v>0</v>
      </c>
      <c r="L31" s="223">
        <v>0</v>
      </c>
      <c r="M31" s="223">
        <v>0</v>
      </c>
      <c r="N31" s="223">
        <v>0</v>
      </c>
      <c r="O31" s="223">
        <v>0</v>
      </c>
      <c r="P31" s="223">
        <v>0</v>
      </c>
      <c r="Q31" s="223">
        <v>0</v>
      </c>
      <c r="R31" s="223">
        <v>0</v>
      </c>
      <c r="S31" s="223">
        <v>0</v>
      </c>
      <c r="T31" s="223">
        <v>0</v>
      </c>
      <c r="U31" s="223">
        <v>0</v>
      </c>
      <c r="V31" s="223">
        <v>0</v>
      </c>
      <c r="W31" s="223">
        <v>0</v>
      </c>
      <c r="X31" s="223">
        <v>0</v>
      </c>
      <c r="Y31" s="223">
        <v>0</v>
      </c>
      <c r="Z31" s="223">
        <v>0</v>
      </c>
      <c r="AA31" s="223">
        <v>0</v>
      </c>
      <c r="AB31" s="218">
        <f t="shared" si="3"/>
        <v>0</v>
      </c>
      <c r="AC31" s="219">
        <f t="shared" si="4"/>
        <v>0</v>
      </c>
    </row>
    <row r="32" spans="1:32" ht="31.5" x14ac:dyDescent="0.25">
      <c r="A32" s="216" t="s">
        <v>418</v>
      </c>
      <c r="B32" s="222" t="s">
        <v>419</v>
      </c>
      <c r="C32" s="218">
        <v>12.1402</v>
      </c>
      <c r="D32" s="218">
        <v>0</v>
      </c>
      <c r="E32" s="218">
        <f t="shared" ref="E32:E33" si="11">C32</f>
        <v>12.1402</v>
      </c>
      <c r="F32" s="218">
        <f t="shared" si="6"/>
        <v>5.1920696500000005</v>
      </c>
      <c r="G32" s="223">
        <v>0</v>
      </c>
      <c r="H32" s="223">
        <v>12.1402</v>
      </c>
      <c r="I32" s="223">
        <v>0</v>
      </c>
      <c r="J32" s="223">
        <v>6.9481303499999996</v>
      </c>
      <c r="K32" s="223">
        <v>0</v>
      </c>
      <c r="L32" s="223">
        <v>0</v>
      </c>
      <c r="M32" s="223">
        <v>0</v>
      </c>
      <c r="N32" s="223">
        <v>4.6787407699999992</v>
      </c>
      <c r="O32" s="223">
        <v>0</v>
      </c>
      <c r="P32" s="223">
        <v>0</v>
      </c>
      <c r="Q32" s="223">
        <v>0</v>
      </c>
      <c r="R32" s="223">
        <v>0</v>
      </c>
      <c r="S32" s="223">
        <v>0</v>
      </c>
      <c r="T32" s="223">
        <v>0</v>
      </c>
      <c r="U32" s="223">
        <v>0</v>
      </c>
      <c r="V32" s="223">
        <v>0</v>
      </c>
      <c r="W32" s="223">
        <v>0</v>
      </c>
      <c r="X32" s="223">
        <v>0</v>
      </c>
      <c r="Y32" s="223">
        <v>0</v>
      </c>
      <c r="Z32" s="223">
        <v>0</v>
      </c>
      <c r="AA32" s="223">
        <v>0</v>
      </c>
      <c r="AB32" s="218">
        <f t="shared" si="3"/>
        <v>12.1402</v>
      </c>
      <c r="AC32" s="219">
        <f t="shared" si="4"/>
        <v>11.626871119999999</v>
      </c>
    </row>
    <row r="33" spans="1:31" x14ac:dyDescent="0.25">
      <c r="A33" s="216" t="s">
        <v>420</v>
      </c>
      <c r="B33" s="222" t="s">
        <v>421</v>
      </c>
      <c r="C33" s="218">
        <v>1.26919</v>
      </c>
      <c r="D33" s="218">
        <v>0</v>
      </c>
      <c r="E33" s="218">
        <f t="shared" si="11"/>
        <v>1.26919</v>
      </c>
      <c r="F33" s="218">
        <f t="shared" si="6"/>
        <v>0.43982064999999992</v>
      </c>
      <c r="G33" s="223">
        <v>0</v>
      </c>
      <c r="H33" s="223">
        <v>1.26919</v>
      </c>
      <c r="I33" s="223">
        <v>0</v>
      </c>
      <c r="J33" s="223">
        <v>0.82936935000000012</v>
      </c>
      <c r="K33" s="223">
        <v>0</v>
      </c>
      <c r="L33" s="223">
        <v>0</v>
      </c>
      <c r="M33" s="223">
        <v>0</v>
      </c>
      <c r="N33" s="223">
        <v>0.44967221000000002</v>
      </c>
      <c r="O33" s="223">
        <v>0</v>
      </c>
      <c r="P33" s="223">
        <v>0</v>
      </c>
      <c r="Q33" s="223">
        <v>0</v>
      </c>
      <c r="R33" s="223">
        <v>0</v>
      </c>
      <c r="S33" s="223">
        <v>0</v>
      </c>
      <c r="T33" s="223">
        <v>0</v>
      </c>
      <c r="U33" s="223">
        <v>0</v>
      </c>
      <c r="V33" s="223">
        <v>0</v>
      </c>
      <c r="W33" s="223">
        <v>0</v>
      </c>
      <c r="X33" s="223">
        <v>0</v>
      </c>
      <c r="Y33" s="223">
        <v>0</v>
      </c>
      <c r="Z33" s="223">
        <v>0</v>
      </c>
      <c r="AA33" s="223">
        <v>0</v>
      </c>
      <c r="AB33" s="218">
        <f t="shared" si="3"/>
        <v>1.26919</v>
      </c>
      <c r="AC33" s="219">
        <f t="shared" si="4"/>
        <v>1.27904156</v>
      </c>
    </row>
    <row r="34" spans="1:31" x14ac:dyDescent="0.25">
      <c r="A34" s="216" t="s">
        <v>422</v>
      </c>
      <c r="B34" s="222" t="s">
        <v>423</v>
      </c>
      <c r="C34" s="218">
        <v>1.6320950000000001</v>
      </c>
      <c r="D34" s="218">
        <v>0</v>
      </c>
      <c r="E34" s="218">
        <f>C34-0.2235409</f>
        <v>1.4085541000000001</v>
      </c>
      <c r="F34" s="218">
        <f t="shared" si="6"/>
        <v>1.1335512200000002</v>
      </c>
      <c r="G34" s="223">
        <v>0</v>
      </c>
      <c r="H34" s="223">
        <v>1.4085541000000001</v>
      </c>
      <c r="I34" s="223">
        <v>0</v>
      </c>
      <c r="J34" s="223">
        <v>0.27500288000000001</v>
      </c>
      <c r="K34" s="223">
        <v>0</v>
      </c>
      <c r="L34" s="223">
        <v>0</v>
      </c>
      <c r="M34" s="223">
        <v>0</v>
      </c>
      <c r="N34" s="223">
        <v>0.80419753000000005</v>
      </c>
      <c r="O34" s="223">
        <v>0</v>
      </c>
      <c r="P34" s="223">
        <v>0</v>
      </c>
      <c r="Q34" s="223">
        <v>0</v>
      </c>
      <c r="R34" s="223">
        <v>0</v>
      </c>
      <c r="S34" s="223">
        <v>0</v>
      </c>
      <c r="T34" s="223">
        <v>0</v>
      </c>
      <c r="U34" s="223">
        <v>0</v>
      </c>
      <c r="V34" s="223">
        <v>0</v>
      </c>
      <c r="W34" s="223">
        <v>0</v>
      </c>
      <c r="X34" s="223">
        <v>0</v>
      </c>
      <c r="Y34" s="223">
        <v>0</v>
      </c>
      <c r="Z34" s="223">
        <v>0</v>
      </c>
      <c r="AA34" s="223">
        <v>0</v>
      </c>
      <c r="AB34" s="218">
        <f t="shared" si="3"/>
        <v>1.4085541000000001</v>
      </c>
      <c r="AC34" s="219">
        <f t="shared" si="4"/>
        <v>1.0792004100000001</v>
      </c>
    </row>
    <row r="35" spans="1:31" s="225" customFormat="1" ht="31.5" x14ac:dyDescent="0.25">
      <c r="A35" s="216" t="s">
        <v>21</v>
      </c>
      <c r="B35" s="217" t="s">
        <v>424</v>
      </c>
      <c r="C35" s="218">
        <v>0</v>
      </c>
      <c r="D35" s="218">
        <v>0</v>
      </c>
      <c r="E35" s="218">
        <f t="shared" ref="E35:E64" si="12">C35</f>
        <v>0</v>
      </c>
      <c r="F35" s="218">
        <f t="shared" si="6"/>
        <v>0</v>
      </c>
      <c r="G35" s="218">
        <v>0</v>
      </c>
      <c r="H35" s="218">
        <v>0</v>
      </c>
      <c r="I35" s="218">
        <v>0</v>
      </c>
      <c r="J35" s="218">
        <v>0</v>
      </c>
      <c r="K35" s="218">
        <v>0</v>
      </c>
      <c r="L35" s="218">
        <v>0</v>
      </c>
      <c r="M35" s="218">
        <v>0</v>
      </c>
      <c r="N35" s="218">
        <v>0</v>
      </c>
      <c r="O35" s="218">
        <v>0</v>
      </c>
      <c r="P35" s="218">
        <v>0</v>
      </c>
      <c r="Q35" s="218">
        <v>0</v>
      </c>
      <c r="R35" s="218">
        <v>0</v>
      </c>
      <c r="S35" s="218">
        <v>0</v>
      </c>
      <c r="T35" s="218">
        <v>0</v>
      </c>
      <c r="U35" s="218">
        <v>0</v>
      </c>
      <c r="V35" s="218">
        <v>0</v>
      </c>
      <c r="W35" s="218">
        <v>0</v>
      </c>
      <c r="X35" s="218">
        <v>0</v>
      </c>
      <c r="Y35" s="218">
        <v>0</v>
      </c>
      <c r="Z35" s="218">
        <v>0</v>
      </c>
      <c r="AA35" s="218">
        <v>0</v>
      </c>
      <c r="AB35" s="218">
        <f t="shared" si="3"/>
        <v>0</v>
      </c>
      <c r="AC35" s="219">
        <f t="shared" si="4"/>
        <v>0</v>
      </c>
      <c r="AD35" s="190"/>
      <c r="AE35" s="190"/>
    </row>
    <row r="36" spans="1:31" ht="31.5" x14ac:dyDescent="0.25">
      <c r="A36" s="221" t="s">
        <v>425</v>
      </c>
      <c r="B36" s="226" t="s">
        <v>426</v>
      </c>
      <c r="C36" s="218">
        <v>0</v>
      </c>
      <c r="D36" s="218">
        <v>0</v>
      </c>
      <c r="E36" s="218">
        <f t="shared" si="12"/>
        <v>0</v>
      </c>
      <c r="F36" s="218">
        <f t="shared" si="6"/>
        <v>0</v>
      </c>
      <c r="G36" s="223">
        <v>0</v>
      </c>
      <c r="H36" s="223">
        <v>0</v>
      </c>
      <c r="I36" s="223">
        <v>0</v>
      </c>
      <c r="J36" s="223">
        <v>0</v>
      </c>
      <c r="K36" s="223">
        <v>0</v>
      </c>
      <c r="L36" s="223">
        <v>0</v>
      </c>
      <c r="M36" s="223">
        <v>0</v>
      </c>
      <c r="N36" s="223">
        <v>0</v>
      </c>
      <c r="O36" s="223">
        <v>0</v>
      </c>
      <c r="P36" s="223">
        <v>0</v>
      </c>
      <c r="Q36" s="223">
        <v>0</v>
      </c>
      <c r="R36" s="223">
        <v>0</v>
      </c>
      <c r="S36" s="223">
        <v>0</v>
      </c>
      <c r="T36" s="223">
        <v>0</v>
      </c>
      <c r="U36" s="223">
        <v>0</v>
      </c>
      <c r="V36" s="223">
        <v>0</v>
      </c>
      <c r="W36" s="223">
        <v>0</v>
      </c>
      <c r="X36" s="223">
        <v>0</v>
      </c>
      <c r="Y36" s="223">
        <v>0</v>
      </c>
      <c r="Z36" s="223">
        <v>0</v>
      </c>
      <c r="AA36" s="223">
        <v>0</v>
      </c>
      <c r="AB36" s="218">
        <f t="shared" si="3"/>
        <v>0</v>
      </c>
      <c r="AC36" s="219">
        <f t="shared" si="4"/>
        <v>0</v>
      </c>
    </row>
    <row r="37" spans="1:31" x14ac:dyDescent="0.25">
      <c r="A37" s="221" t="s">
        <v>427</v>
      </c>
      <c r="B37" s="226" t="s">
        <v>428</v>
      </c>
      <c r="C37" s="218">
        <v>0</v>
      </c>
      <c r="D37" s="218">
        <v>0</v>
      </c>
      <c r="E37" s="218">
        <f t="shared" si="12"/>
        <v>0</v>
      </c>
      <c r="F37" s="218">
        <f t="shared" si="6"/>
        <v>0</v>
      </c>
      <c r="G37" s="223">
        <v>0</v>
      </c>
      <c r="H37" s="223">
        <v>0</v>
      </c>
      <c r="I37" s="223">
        <v>0</v>
      </c>
      <c r="J37" s="223">
        <v>0</v>
      </c>
      <c r="K37" s="223">
        <v>0</v>
      </c>
      <c r="L37" s="223">
        <v>0</v>
      </c>
      <c r="M37" s="223">
        <v>0</v>
      </c>
      <c r="N37" s="223">
        <v>0</v>
      </c>
      <c r="O37" s="223">
        <v>0</v>
      </c>
      <c r="P37" s="223">
        <v>0</v>
      </c>
      <c r="Q37" s="223">
        <v>0</v>
      </c>
      <c r="R37" s="223">
        <v>0</v>
      </c>
      <c r="S37" s="223">
        <v>0</v>
      </c>
      <c r="T37" s="223">
        <v>0</v>
      </c>
      <c r="U37" s="223">
        <v>0</v>
      </c>
      <c r="V37" s="223">
        <v>0</v>
      </c>
      <c r="W37" s="223">
        <v>0</v>
      </c>
      <c r="X37" s="223">
        <v>0</v>
      </c>
      <c r="Y37" s="223">
        <v>0</v>
      </c>
      <c r="Z37" s="223">
        <v>0</v>
      </c>
      <c r="AA37" s="223">
        <v>0</v>
      </c>
      <c r="AB37" s="218">
        <f t="shared" si="3"/>
        <v>0</v>
      </c>
      <c r="AC37" s="219">
        <f t="shared" si="4"/>
        <v>0</v>
      </c>
    </row>
    <row r="38" spans="1:31" x14ac:dyDescent="0.25">
      <c r="A38" s="221" t="s">
        <v>429</v>
      </c>
      <c r="B38" s="226" t="s">
        <v>430</v>
      </c>
      <c r="C38" s="218">
        <v>0</v>
      </c>
      <c r="D38" s="218">
        <v>0</v>
      </c>
      <c r="E38" s="218">
        <f t="shared" si="12"/>
        <v>0</v>
      </c>
      <c r="F38" s="218">
        <f t="shared" si="6"/>
        <v>0</v>
      </c>
      <c r="G38" s="223">
        <v>0</v>
      </c>
      <c r="H38" s="223">
        <v>0</v>
      </c>
      <c r="I38" s="223">
        <v>0</v>
      </c>
      <c r="J38" s="223">
        <v>0</v>
      </c>
      <c r="K38" s="223">
        <v>0</v>
      </c>
      <c r="L38" s="223">
        <v>0</v>
      </c>
      <c r="M38" s="223">
        <v>0</v>
      </c>
      <c r="N38" s="223">
        <v>0</v>
      </c>
      <c r="O38" s="223">
        <v>0</v>
      </c>
      <c r="P38" s="223">
        <v>0</v>
      </c>
      <c r="Q38" s="223">
        <v>0</v>
      </c>
      <c r="R38" s="223">
        <v>0</v>
      </c>
      <c r="S38" s="223">
        <v>0</v>
      </c>
      <c r="T38" s="223">
        <v>0</v>
      </c>
      <c r="U38" s="223">
        <v>0</v>
      </c>
      <c r="V38" s="223">
        <v>0</v>
      </c>
      <c r="W38" s="223">
        <v>0</v>
      </c>
      <c r="X38" s="223">
        <v>0</v>
      </c>
      <c r="Y38" s="223">
        <v>0</v>
      </c>
      <c r="Z38" s="223">
        <v>0</v>
      </c>
      <c r="AA38" s="223">
        <v>0</v>
      </c>
      <c r="AB38" s="218">
        <f t="shared" si="3"/>
        <v>0</v>
      </c>
      <c r="AC38" s="219">
        <f t="shared" si="4"/>
        <v>0</v>
      </c>
    </row>
    <row r="39" spans="1:31" ht="31.5" x14ac:dyDescent="0.25">
      <c r="A39" s="221" t="s">
        <v>431</v>
      </c>
      <c r="B39" s="222" t="s">
        <v>432</v>
      </c>
      <c r="C39" s="218">
        <v>7.0629999999999997</v>
      </c>
      <c r="D39" s="218">
        <v>0</v>
      </c>
      <c r="E39" s="218">
        <f t="shared" si="12"/>
        <v>7.0629999999999997</v>
      </c>
      <c r="F39" s="218">
        <f t="shared" si="6"/>
        <v>7.0629999999999997</v>
      </c>
      <c r="G39" s="223">
        <v>0</v>
      </c>
      <c r="H39" s="223">
        <v>7.0629999999999997</v>
      </c>
      <c r="I39" s="223">
        <v>0</v>
      </c>
      <c r="J39" s="223">
        <v>0</v>
      </c>
      <c r="K39" s="223">
        <v>0</v>
      </c>
      <c r="L39" s="223">
        <v>0</v>
      </c>
      <c r="M39" s="223">
        <v>0</v>
      </c>
      <c r="N39" s="223">
        <v>7.0629999999999997</v>
      </c>
      <c r="O39" s="223">
        <v>0</v>
      </c>
      <c r="P39" s="223">
        <v>0</v>
      </c>
      <c r="Q39" s="223">
        <v>0</v>
      </c>
      <c r="R39" s="223">
        <v>0</v>
      </c>
      <c r="S39" s="223">
        <v>0</v>
      </c>
      <c r="T39" s="223">
        <v>0</v>
      </c>
      <c r="U39" s="223">
        <v>0</v>
      </c>
      <c r="V39" s="223">
        <v>0</v>
      </c>
      <c r="W39" s="223">
        <v>0</v>
      </c>
      <c r="X39" s="223">
        <v>0</v>
      </c>
      <c r="Y39" s="223">
        <v>0</v>
      </c>
      <c r="Z39" s="223">
        <v>0</v>
      </c>
      <c r="AA39" s="223">
        <v>0</v>
      </c>
      <c r="AB39" s="218">
        <f t="shared" si="3"/>
        <v>7.0629999999999997</v>
      </c>
      <c r="AC39" s="219">
        <f t="shared" si="4"/>
        <v>7.0629999999999997</v>
      </c>
    </row>
    <row r="40" spans="1:31" ht="31.5" x14ac:dyDescent="0.25">
      <c r="A40" s="221" t="s">
        <v>433</v>
      </c>
      <c r="B40" s="222" t="s">
        <v>434</v>
      </c>
      <c r="C40" s="218">
        <v>0</v>
      </c>
      <c r="D40" s="218">
        <v>0</v>
      </c>
      <c r="E40" s="218">
        <f t="shared" si="12"/>
        <v>0</v>
      </c>
      <c r="F40" s="218">
        <f t="shared" si="6"/>
        <v>0</v>
      </c>
      <c r="G40" s="223">
        <v>0</v>
      </c>
      <c r="H40" s="223">
        <v>0</v>
      </c>
      <c r="I40" s="223">
        <v>0</v>
      </c>
      <c r="J40" s="223">
        <v>0</v>
      </c>
      <c r="K40" s="223">
        <v>0</v>
      </c>
      <c r="L40" s="223">
        <v>0</v>
      </c>
      <c r="M40" s="223">
        <v>0</v>
      </c>
      <c r="N40" s="223">
        <v>0</v>
      </c>
      <c r="O40" s="223">
        <v>0</v>
      </c>
      <c r="P40" s="223">
        <v>0</v>
      </c>
      <c r="Q40" s="223">
        <v>0</v>
      </c>
      <c r="R40" s="223">
        <v>0</v>
      </c>
      <c r="S40" s="223">
        <v>0</v>
      </c>
      <c r="T40" s="223">
        <v>0</v>
      </c>
      <c r="U40" s="223">
        <v>0</v>
      </c>
      <c r="V40" s="223">
        <v>0</v>
      </c>
      <c r="W40" s="223">
        <v>0</v>
      </c>
      <c r="X40" s="223">
        <v>0</v>
      </c>
      <c r="Y40" s="223">
        <v>0</v>
      </c>
      <c r="Z40" s="223">
        <v>0</v>
      </c>
      <c r="AA40" s="223">
        <v>0</v>
      </c>
      <c r="AB40" s="218">
        <f t="shared" si="3"/>
        <v>0</v>
      </c>
      <c r="AC40" s="219">
        <f t="shared" si="4"/>
        <v>0</v>
      </c>
    </row>
    <row r="41" spans="1:31" x14ac:dyDescent="0.25">
      <c r="A41" s="221" t="s">
        <v>435</v>
      </c>
      <c r="B41" s="222" t="s">
        <v>436</v>
      </c>
      <c r="C41" s="218">
        <v>0</v>
      </c>
      <c r="D41" s="218">
        <v>0</v>
      </c>
      <c r="E41" s="218">
        <f t="shared" si="12"/>
        <v>0</v>
      </c>
      <c r="F41" s="218">
        <f t="shared" si="6"/>
        <v>0</v>
      </c>
      <c r="G41" s="223">
        <v>0</v>
      </c>
      <c r="H41" s="223">
        <v>0</v>
      </c>
      <c r="I41" s="223">
        <v>0</v>
      </c>
      <c r="J41" s="223">
        <v>0</v>
      </c>
      <c r="K41" s="223">
        <v>0</v>
      </c>
      <c r="L41" s="223">
        <v>0</v>
      </c>
      <c r="M41" s="223">
        <v>0</v>
      </c>
      <c r="N41" s="223">
        <v>0</v>
      </c>
      <c r="O41" s="223">
        <v>0</v>
      </c>
      <c r="P41" s="223">
        <v>0</v>
      </c>
      <c r="Q41" s="223">
        <v>0</v>
      </c>
      <c r="R41" s="223">
        <v>0</v>
      </c>
      <c r="S41" s="223">
        <v>0</v>
      </c>
      <c r="T41" s="223">
        <v>0</v>
      </c>
      <c r="U41" s="223">
        <v>0</v>
      </c>
      <c r="V41" s="223">
        <v>0</v>
      </c>
      <c r="W41" s="223">
        <v>0</v>
      </c>
      <c r="X41" s="223">
        <v>0</v>
      </c>
      <c r="Y41" s="223">
        <v>0</v>
      </c>
      <c r="Z41" s="223">
        <v>0</v>
      </c>
      <c r="AA41" s="223">
        <v>0</v>
      </c>
      <c r="AB41" s="218">
        <f t="shared" si="3"/>
        <v>0</v>
      </c>
      <c r="AC41" s="219">
        <f t="shared" si="4"/>
        <v>0</v>
      </c>
    </row>
    <row r="42" spans="1:31" ht="18.75" x14ac:dyDescent="0.25">
      <c r="A42" s="221" t="s">
        <v>437</v>
      </c>
      <c r="B42" s="226" t="s">
        <v>438</v>
      </c>
      <c r="C42" s="218">
        <v>0</v>
      </c>
      <c r="D42" s="218">
        <v>0</v>
      </c>
      <c r="E42" s="218">
        <f t="shared" si="12"/>
        <v>0</v>
      </c>
      <c r="F42" s="218">
        <f t="shared" si="6"/>
        <v>0</v>
      </c>
      <c r="G42" s="223">
        <v>0</v>
      </c>
      <c r="H42" s="223">
        <v>0</v>
      </c>
      <c r="I42" s="223">
        <v>0</v>
      </c>
      <c r="J42" s="223">
        <v>0</v>
      </c>
      <c r="K42" s="223">
        <v>0</v>
      </c>
      <c r="L42" s="223">
        <v>0</v>
      </c>
      <c r="M42" s="223">
        <v>0</v>
      </c>
      <c r="N42" s="223">
        <v>0</v>
      </c>
      <c r="O42" s="223">
        <v>0</v>
      </c>
      <c r="P42" s="223">
        <v>0</v>
      </c>
      <c r="Q42" s="223">
        <v>0</v>
      </c>
      <c r="R42" s="223">
        <v>0</v>
      </c>
      <c r="S42" s="223">
        <v>0</v>
      </c>
      <c r="T42" s="223">
        <v>0</v>
      </c>
      <c r="U42" s="223">
        <v>0</v>
      </c>
      <c r="V42" s="223">
        <v>0</v>
      </c>
      <c r="W42" s="223">
        <v>0</v>
      </c>
      <c r="X42" s="223">
        <v>0</v>
      </c>
      <c r="Y42" s="223">
        <v>0</v>
      </c>
      <c r="Z42" s="223">
        <v>0</v>
      </c>
      <c r="AA42" s="223">
        <v>0</v>
      </c>
      <c r="AB42" s="218">
        <f t="shared" si="3"/>
        <v>0</v>
      </c>
      <c r="AC42" s="219">
        <f t="shared" si="4"/>
        <v>0</v>
      </c>
    </row>
    <row r="43" spans="1:31" s="225" customFormat="1" x14ac:dyDescent="0.25">
      <c r="A43" s="216" t="s">
        <v>24</v>
      </c>
      <c r="B43" s="217" t="s">
        <v>439</v>
      </c>
      <c r="C43" s="218">
        <v>0</v>
      </c>
      <c r="D43" s="218">
        <v>0</v>
      </c>
      <c r="E43" s="218">
        <f t="shared" si="12"/>
        <v>0</v>
      </c>
      <c r="F43" s="218">
        <f t="shared" si="6"/>
        <v>0</v>
      </c>
      <c r="G43" s="218">
        <v>0</v>
      </c>
      <c r="H43" s="218">
        <v>0</v>
      </c>
      <c r="I43" s="218">
        <v>0</v>
      </c>
      <c r="J43" s="218">
        <v>0</v>
      </c>
      <c r="K43" s="218">
        <v>0</v>
      </c>
      <c r="L43" s="218">
        <v>0</v>
      </c>
      <c r="M43" s="218">
        <v>0</v>
      </c>
      <c r="N43" s="218">
        <v>0</v>
      </c>
      <c r="O43" s="218">
        <v>0</v>
      </c>
      <c r="P43" s="218">
        <v>0</v>
      </c>
      <c r="Q43" s="218">
        <v>0</v>
      </c>
      <c r="R43" s="218">
        <v>0</v>
      </c>
      <c r="S43" s="218">
        <v>0</v>
      </c>
      <c r="T43" s="218">
        <v>0</v>
      </c>
      <c r="U43" s="218">
        <v>0</v>
      </c>
      <c r="V43" s="218">
        <v>0</v>
      </c>
      <c r="W43" s="218">
        <v>0</v>
      </c>
      <c r="X43" s="218">
        <v>0</v>
      </c>
      <c r="Y43" s="218">
        <v>0</v>
      </c>
      <c r="Z43" s="218">
        <v>0</v>
      </c>
      <c r="AA43" s="218">
        <v>0</v>
      </c>
      <c r="AB43" s="218">
        <f t="shared" si="3"/>
        <v>0</v>
      </c>
      <c r="AC43" s="219">
        <f t="shared" si="4"/>
        <v>0</v>
      </c>
      <c r="AD43" s="190"/>
      <c r="AE43" s="190"/>
    </row>
    <row r="44" spans="1:31" x14ac:dyDescent="0.25">
      <c r="A44" s="221" t="s">
        <v>440</v>
      </c>
      <c r="B44" s="222" t="s">
        <v>441</v>
      </c>
      <c r="C44" s="218">
        <v>0</v>
      </c>
      <c r="D44" s="218">
        <v>0</v>
      </c>
      <c r="E44" s="218">
        <f t="shared" si="12"/>
        <v>0</v>
      </c>
      <c r="F44" s="218">
        <f t="shared" si="6"/>
        <v>0</v>
      </c>
      <c r="G44" s="223">
        <v>0</v>
      </c>
      <c r="H44" s="223">
        <v>0</v>
      </c>
      <c r="I44" s="223">
        <v>0</v>
      </c>
      <c r="J44" s="223">
        <v>0</v>
      </c>
      <c r="K44" s="223">
        <v>0</v>
      </c>
      <c r="L44" s="223">
        <v>0</v>
      </c>
      <c r="M44" s="223">
        <v>0</v>
      </c>
      <c r="N44" s="223">
        <v>0</v>
      </c>
      <c r="O44" s="223">
        <v>0</v>
      </c>
      <c r="P44" s="223">
        <v>0</v>
      </c>
      <c r="Q44" s="223">
        <v>0</v>
      </c>
      <c r="R44" s="223">
        <v>0</v>
      </c>
      <c r="S44" s="223">
        <v>0</v>
      </c>
      <c r="T44" s="223">
        <v>0</v>
      </c>
      <c r="U44" s="223">
        <v>0</v>
      </c>
      <c r="V44" s="223">
        <v>0</v>
      </c>
      <c r="W44" s="223">
        <v>0</v>
      </c>
      <c r="X44" s="223">
        <v>0</v>
      </c>
      <c r="Y44" s="223">
        <v>0</v>
      </c>
      <c r="Z44" s="223">
        <v>0</v>
      </c>
      <c r="AA44" s="223">
        <v>0</v>
      </c>
      <c r="AB44" s="218">
        <f t="shared" si="3"/>
        <v>0</v>
      </c>
      <c r="AC44" s="219">
        <f t="shared" si="4"/>
        <v>0</v>
      </c>
    </row>
    <row r="45" spans="1:31" x14ac:dyDescent="0.25">
      <c r="A45" s="221" t="s">
        <v>442</v>
      </c>
      <c r="B45" s="222" t="s">
        <v>428</v>
      </c>
      <c r="C45" s="218">
        <v>0</v>
      </c>
      <c r="D45" s="218">
        <v>0</v>
      </c>
      <c r="E45" s="218">
        <f t="shared" si="12"/>
        <v>0</v>
      </c>
      <c r="F45" s="218">
        <f t="shared" si="6"/>
        <v>0</v>
      </c>
      <c r="G45" s="223">
        <v>0</v>
      </c>
      <c r="H45" s="223">
        <v>0</v>
      </c>
      <c r="I45" s="223">
        <v>0</v>
      </c>
      <c r="J45" s="223">
        <v>0</v>
      </c>
      <c r="K45" s="223">
        <v>0</v>
      </c>
      <c r="L45" s="223">
        <v>0</v>
      </c>
      <c r="M45" s="223">
        <v>0</v>
      </c>
      <c r="N45" s="223">
        <v>0</v>
      </c>
      <c r="O45" s="223">
        <v>0</v>
      </c>
      <c r="P45" s="223">
        <v>0</v>
      </c>
      <c r="Q45" s="223">
        <v>0</v>
      </c>
      <c r="R45" s="223">
        <v>0</v>
      </c>
      <c r="S45" s="223">
        <v>0</v>
      </c>
      <c r="T45" s="223">
        <v>0</v>
      </c>
      <c r="U45" s="223">
        <v>0</v>
      </c>
      <c r="V45" s="223">
        <v>0</v>
      </c>
      <c r="W45" s="223">
        <v>0</v>
      </c>
      <c r="X45" s="223">
        <v>0</v>
      </c>
      <c r="Y45" s="223">
        <v>0</v>
      </c>
      <c r="Z45" s="223">
        <v>0</v>
      </c>
      <c r="AA45" s="223">
        <v>0</v>
      </c>
      <c r="AB45" s="218">
        <f t="shared" si="3"/>
        <v>0</v>
      </c>
      <c r="AC45" s="219">
        <f t="shared" si="4"/>
        <v>0</v>
      </c>
    </row>
    <row r="46" spans="1:31" x14ac:dyDescent="0.25">
      <c r="A46" s="221" t="s">
        <v>443</v>
      </c>
      <c r="B46" s="222" t="s">
        <v>430</v>
      </c>
      <c r="C46" s="218">
        <v>0</v>
      </c>
      <c r="D46" s="218">
        <v>0</v>
      </c>
      <c r="E46" s="218">
        <f t="shared" si="12"/>
        <v>0</v>
      </c>
      <c r="F46" s="218">
        <f t="shared" si="6"/>
        <v>0</v>
      </c>
      <c r="G46" s="223">
        <v>0</v>
      </c>
      <c r="H46" s="223">
        <v>0</v>
      </c>
      <c r="I46" s="223">
        <v>0</v>
      </c>
      <c r="J46" s="223">
        <v>0</v>
      </c>
      <c r="K46" s="223">
        <v>0</v>
      </c>
      <c r="L46" s="223">
        <v>0</v>
      </c>
      <c r="M46" s="223">
        <v>0</v>
      </c>
      <c r="N46" s="223">
        <v>0</v>
      </c>
      <c r="O46" s="223">
        <v>0</v>
      </c>
      <c r="P46" s="223">
        <v>0</v>
      </c>
      <c r="Q46" s="223">
        <v>0</v>
      </c>
      <c r="R46" s="223">
        <v>0</v>
      </c>
      <c r="S46" s="223">
        <v>0</v>
      </c>
      <c r="T46" s="223">
        <v>0</v>
      </c>
      <c r="U46" s="223">
        <v>0</v>
      </c>
      <c r="V46" s="223">
        <v>0</v>
      </c>
      <c r="W46" s="223">
        <v>0</v>
      </c>
      <c r="X46" s="223">
        <v>0</v>
      </c>
      <c r="Y46" s="223">
        <v>0</v>
      </c>
      <c r="Z46" s="223">
        <v>0</v>
      </c>
      <c r="AA46" s="223">
        <v>0</v>
      </c>
      <c r="AB46" s="218">
        <f t="shared" si="3"/>
        <v>0</v>
      </c>
      <c r="AC46" s="219">
        <f t="shared" si="4"/>
        <v>0</v>
      </c>
    </row>
    <row r="47" spans="1:31" ht="31.5" x14ac:dyDescent="0.25">
      <c r="A47" s="221" t="s">
        <v>444</v>
      </c>
      <c r="B47" s="222" t="s">
        <v>432</v>
      </c>
      <c r="C47" s="218">
        <v>7.0629999999999997</v>
      </c>
      <c r="D47" s="218">
        <v>0</v>
      </c>
      <c r="E47" s="218">
        <f t="shared" si="12"/>
        <v>7.0629999999999997</v>
      </c>
      <c r="F47" s="218">
        <f t="shared" si="6"/>
        <v>7.0629999999999997</v>
      </c>
      <c r="G47" s="223">
        <v>0</v>
      </c>
      <c r="H47" s="223">
        <v>7.0629999999999997</v>
      </c>
      <c r="I47" s="223">
        <v>0</v>
      </c>
      <c r="J47" s="223">
        <v>0</v>
      </c>
      <c r="K47" s="223">
        <v>0</v>
      </c>
      <c r="L47" s="223">
        <v>0</v>
      </c>
      <c r="M47" s="223">
        <v>0</v>
      </c>
      <c r="N47" s="223">
        <f t="shared" ref="N47:N49" si="13">N39</f>
        <v>7.0629999999999997</v>
      </c>
      <c r="O47" s="223">
        <v>0</v>
      </c>
      <c r="P47" s="223">
        <v>0</v>
      </c>
      <c r="Q47" s="223">
        <v>0</v>
      </c>
      <c r="R47" s="223">
        <v>0</v>
      </c>
      <c r="S47" s="223">
        <v>0</v>
      </c>
      <c r="T47" s="223">
        <v>0</v>
      </c>
      <c r="U47" s="223">
        <v>0</v>
      </c>
      <c r="V47" s="223">
        <v>0</v>
      </c>
      <c r="W47" s="223">
        <v>0</v>
      </c>
      <c r="X47" s="223">
        <v>0</v>
      </c>
      <c r="Y47" s="223">
        <v>0</v>
      </c>
      <c r="Z47" s="223">
        <v>0</v>
      </c>
      <c r="AA47" s="223">
        <v>0</v>
      </c>
      <c r="AB47" s="218">
        <f t="shared" si="3"/>
        <v>7.0629999999999997</v>
      </c>
      <c r="AC47" s="219">
        <f t="shared" si="4"/>
        <v>7.0629999999999997</v>
      </c>
    </row>
    <row r="48" spans="1:31" ht="31.5" x14ac:dyDescent="0.25">
      <c r="A48" s="221" t="s">
        <v>445</v>
      </c>
      <c r="B48" s="222" t="s">
        <v>434</v>
      </c>
      <c r="C48" s="218">
        <v>0</v>
      </c>
      <c r="D48" s="218">
        <v>0</v>
      </c>
      <c r="E48" s="218">
        <f t="shared" si="12"/>
        <v>0</v>
      </c>
      <c r="F48" s="218">
        <f t="shared" si="6"/>
        <v>0</v>
      </c>
      <c r="G48" s="223">
        <v>0</v>
      </c>
      <c r="H48" s="223">
        <v>0</v>
      </c>
      <c r="I48" s="223">
        <v>0</v>
      </c>
      <c r="J48" s="223">
        <v>0</v>
      </c>
      <c r="K48" s="223">
        <v>0</v>
      </c>
      <c r="L48" s="223">
        <v>0</v>
      </c>
      <c r="M48" s="223">
        <v>0</v>
      </c>
      <c r="N48" s="223">
        <f t="shared" si="13"/>
        <v>0</v>
      </c>
      <c r="O48" s="223">
        <v>0</v>
      </c>
      <c r="P48" s="223">
        <v>0</v>
      </c>
      <c r="Q48" s="223">
        <v>0</v>
      </c>
      <c r="R48" s="223">
        <v>0</v>
      </c>
      <c r="S48" s="223">
        <v>0</v>
      </c>
      <c r="T48" s="223">
        <v>0</v>
      </c>
      <c r="U48" s="223">
        <v>0</v>
      </c>
      <c r="V48" s="223">
        <v>0</v>
      </c>
      <c r="W48" s="223">
        <v>0</v>
      </c>
      <c r="X48" s="223">
        <v>0</v>
      </c>
      <c r="Y48" s="223">
        <v>0</v>
      </c>
      <c r="Z48" s="223">
        <v>0</v>
      </c>
      <c r="AA48" s="223">
        <v>0</v>
      </c>
      <c r="AB48" s="218">
        <f t="shared" si="3"/>
        <v>0</v>
      </c>
      <c r="AC48" s="219">
        <f t="shared" si="4"/>
        <v>0</v>
      </c>
    </row>
    <row r="49" spans="1:31" x14ac:dyDescent="0.25">
      <c r="A49" s="221" t="s">
        <v>446</v>
      </c>
      <c r="B49" s="222" t="s">
        <v>436</v>
      </c>
      <c r="C49" s="218">
        <v>0</v>
      </c>
      <c r="D49" s="218">
        <v>0</v>
      </c>
      <c r="E49" s="218">
        <f t="shared" si="12"/>
        <v>0</v>
      </c>
      <c r="F49" s="218">
        <f t="shared" si="6"/>
        <v>0</v>
      </c>
      <c r="G49" s="223">
        <v>0</v>
      </c>
      <c r="H49" s="223">
        <v>0</v>
      </c>
      <c r="I49" s="223">
        <v>0</v>
      </c>
      <c r="J49" s="223">
        <v>0</v>
      </c>
      <c r="K49" s="223">
        <v>0</v>
      </c>
      <c r="L49" s="223">
        <v>0</v>
      </c>
      <c r="M49" s="223">
        <v>0</v>
      </c>
      <c r="N49" s="223">
        <f t="shared" si="13"/>
        <v>0</v>
      </c>
      <c r="O49" s="223">
        <v>0</v>
      </c>
      <c r="P49" s="223">
        <v>0</v>
      </c>
      <c r="Q49" s="223">
        <v>0</v>
      </c>
      <c r="R49" s="223">
        <v>0</v>
      </c>
      <c r="S49" s="223">
        <v>0</v>
      </c>
      <c r="T49" s="223">
        <v>0</v>
      </c>
      <c r="U49" s="223">
        <v>0</v>
      </c>
      <c r="V49" s="223">
        <v>0</v>
      </c>
      <c r="W49" s="223">
        <v>0</v>
      </c>
      <c r="X49" s="223">
        <v>0</v>
      </c>
      <c r="Y49" s="223">
        <v>0</v>
      </c>
      <c r="Z49" s="223">
        <v>0</v>
      </c>
      <c r="AA49" s="223">
        <v>0</v>
      </c>
      <c r="AB49" s="218">
        <f t="shared" si="3"/>
        <v>0</v>
      </c>
      <c r="AC49" s="219">
        <f t="shared" si="4"/>
        <v>0</v>
      </c>
    </row>
    <row r="50" spans="1:31" ht="18.75" x14ac:dyDescent="0.25">
      <c r="A50" s="221" t="s">
        <v>447</v>
      </c>
      <c r="B50" s="226" t="s">
        <v>438</v>
      </c>
      <c r="C50" s="218">
        <v>0</v>
      </c>
      <c r="D50" s="218">
        <v>0</v>
      </c>
      <c r="E50" s="218">
        <f t="shared" si="12"/>
        <v>0</v>
      </c>
      <c r="F50" s="218">
        <f t="shared" si="6"/>
        <v>0</v>
      </c>
      <c r="G50" s="223">
        <v>0</v>
      </c>
      <c r="H50" s="223">
        <v>0</v>
      </c>
      <c r="I50" s="223">
        <v>0</v>
      </c>
      <c r="J50" s="223">
        <v>0</v>
      </c>
      <c r="K50" s="223">
        <v>0</v>
      </c>
      <c r="L50" s="223">
        <v>0</v>
      </c>
      <c r="M50" s="223">
        <v>0</v>
      </c>
      <c r="N50" s="223">
        <v>0</v>
      </c>
      <c r="O50" s="223">
        <v>0</v>
      </c>
      <c r="P50" s="223">
        <v>0</v>
      </c>
      <c r="Q50" s="223">
        <v>0</v>
      </c>
      <c r="R50" s="223">
        <v>0</v>
      </c>
      <c r="S50" s="223">
        <v>0</v>
      </c>
      <c r="T50" s="223">
        <v>0</v>
      </c>
      <c r="U50" s="223">
        <v>0</v>
      </c>
      <c r="V50" s="223">
        <v>0</v>
      </c>
      <c r="W50" s="223">
        <v>0</v>
      </c>
      <c r="X50" s="223">
        <v>0</v>
      </c>
      <c r="Y50" s="223">
        <v>0</v>
      </c>
      <c r="Z50" s="223">
        <v>0</v>
      </c>
      <c r="AA50" s="223">
        <v>0</v>
      </c>
      <c r="AB50" s="218">
        <f t="shared" si="3"/>
        <v>0</v>
      </c>
      <c r="AC50" s="219">
        <f t="shared" si="4"/>
        <v>0</v>
      </c>
    </row>
    <row r="51" spans="1:31" s="225" customFormat="1" ht="35.25" customHeight="1" x14ac:dyDescent="0.25">
      <c r="A51" s="216" t="s">
        <v>27</v>
      </c>
      <c r="B51" s="217" t="s">
        <v>448</v>
      </c>
      <c r="C51" s="218">
        <v>0</v>
      </c>
      <c r="D51" s="218">
        <v>0</v>
      </c>
      <c r="E51" s="218">
        <f t="shared" si="12"/>
        <v>0</v>
      </c>
      <c r="F51" s="218">
        <f t="shared" si="6"/>
        <v>0</v>
      </c>
      <c r="G51" s="218">
        <v>0</v>
      </c>
      <c r="H51" s="218">
        <v>0</v>
      </c>
      <c r="I51" s="218">
        <v>0</v>
      </c>
      <c r="J51" s="218">
        <v>0</v>
      </c>
      <c r="K51" s="218">
        <v>0</v>
      </c>
      <c r="L51" s="218">
        <v>0</v>
      </c>
      <c r="M51" s="218">
        <v>0</v>
      </c>
      <c r="N51" s="218">
        <v>0</v>
      </c>
      <c r="O51" s="218">
        <v>0</v>
      </c>
      <c r="P51" s="218">
        <v>0</v>
      </c>
      <c r="Q51" s="218">
        <v>0</v>
      </c>
      <c r="R51" s="218">
        <v>0</v>
      </c>
      <c r="S51" s="218">
        <v>0</v>
      </c>
      <c r="T51" s="218">
        <v>0</v>
      </c>
      <c r="U51" s="218">
        <v>0</v>
      </c>
      <c r="V51" s="218">
        <v>0</v>
      </c>
      <c r="W51" s="218">
        <v>0</v>
      </c>
      <c r="X51" s="218">
        <v>0</v>
      </c>
      <c r="Y51" s="218">
        <v>0</v>
      </c>
      <c r="Z51" s="218">
        <v>0</v>
      </c>
      <c r="AA51" s="218">
        <v>0</v>
      </c>
      <c r="AB51" s="218">
        <f t="shared" si="3"/>
        <v>0</v>
      </c>
      <c r="AC51" s="219">
        <f t="shared" si="4"/>
        <v>0</v>
      </c>
      <c r="AD51" s="190"/>
      <c r="AE51" s="190"/>
    </row>
    <row r="52" spans="1:31" x14ac:dyDescent="0.25">
      <c r="A52" s="221" t="s">
        <v>449</v>
      </c>
      <c r="B52" s="222" t="s">
        <v>450</v>
      </c>
      <c r="C52" s="218">
        <f>C30</f>
        <v>16.566533010000001</v>
      </c>
      <c r="D52" s="218">
        <v>0</v>
      </c>
      <c r="E52" s="218">
        <f t="shared" si="12"/>
        <v>16.566533010000001</v>
      </c>
      <c r="F52" s="218">
        <f t="shared" si="6"/>
        <v>16.566533010000001</v>
      </c>
      <c r="G52" s="223">
        <v>0</v>
      </c>
      <c r="H52" s="223">
        <v>16.566533010000001</v>
      </c>
      <c r="I52" s="223">
        <v>0</v>
      </c>
      <c r="J52" s="223">
        <v>0</v>
      </c>
      <c r="K52" s="223">
        <v>0</v>
      </c>
      <c r="L52" s="223">
        <v>0</v>
      </c>
      <c r="M52" s="223">
        <v>0</v>
      </c>
      <c r="N52" s="223">
        <v>15.733701999999999</v>
      </c>
      <c r="O52" s="223">
        <v>0</v>
      </c>
      <c r="P52" s="223">
        <v>0</v>
      </c>
      <c r="Q52" s="223">
        <v>0</v>
      </c>
      <c r="R52" s="223">
        <v>0</v>
      </c>
      <c r="S52" s="223">
        <v>0</v>
      </c>
      <c r="T52" s="223">
        <v>0</v>
      </c>
      <c r="U52" s="223">
        <v>0</v>
      </c>
      <c r="V52" s="223">
        <v>0</v>
      </c>
      <c r="W52" s="223">
        <v>0</v>
      </c>
      <c r="X52" s="223">
        <v>0</v>
      </c>
      <c r="Y52" s="223">
        <v>0</v>
      </c>
      <c r="Z52" s="223">
        <v>0</v>
      </c>
      <c r="AA52" s="223">
        <v>0</v>
      </c>
      <c r="AB52" s="218">
        <f t="shared" si="3"/>
        <v>16.566533010000001</v>
      </c>
      <c r="AC52" s="219">
        <f t="shared" si="4"/>
        <v>15.733701999999999</v>
      </c>
      <c r="AE52" s="220"/>
    </row>
    <row r="53" spans="1:31" x14ac:dyDescent="0.25">
      <c r="A53" s="221" t="s">
        <v>451</v>
      </c>
      <c r="B53" s="222" t="s">
        <v>299</v>
      </c>
      <c r="C53" s="218">
        <v>0</v>
      </c>
      <c r="D53" s="218">
        <v>0</v>
      </c>
      <c r="E53" s="218">
        <f t="shared" si="12"/>
        <v>0</v>
      </c>
      <c r="F53" s="218">
        <f t="shared" si="6"/>
        <v>0</v>
      </c>
      <c r="G53" s="223">
        <v>0</v>
      </c>
      <c r="H53" s="223">
        <v>0</v>
      </c>
      <c r="I53" s="223">
        <v>0</v>
      </c>
      <c r="J53" s="223">
        <v>0</v>
      </c>
      <c r="K53" s="223">
        <v>0</v>
      </c>
      <c r="L53" s="223">
        <v>0</v>
      </c>
      <c r="M53" s="223">
        <v>0</v>
      </c>
      <c r="N53" s="223">
        <v>0</v>
      </c>
      <c r="O53" s="223">
        <v>0</v>
      </c>
      <c r="P53" s="223">
        <v>0</v>
      </c>
      <c r="Q53" s="223">
        <v>0</v>
      </c>
      <c r="R53" s="223">
        <v>0</v>
      </c>
      <c r="S53" s="223">
        <v>0</v>
      </c>
      <c r="T53" s="223">
        <v>0</v>
      </c>
      <c r="U53" s="223">
        <v>0</v>
      </c>
      <c r="V53" s="223">
        <v>0</v>
      </c>
      <c r="W53" s="223">
        <v>0</v>
      </c>
      <c r="X53" s="223">
        <v>0</v>
      </c>
      <c r="Y53" s="223">
        <v>0</v>
      </c>
      <c r="Z53" s="223">
        <v>0</v>
      </c>
      <c r="AA53" s="223">
        <v>0</v>
      </c>
      <c r="AB53" s="218">
        <f t="shared" si="3"/>
        <v>0</v>
      </c>
      <c r="AC53" s="219">
        <f t="shared" si="4"/>
        <v>0</v>
      </c>
    </row>
    <row r="54" spans="1:31" x14ac:dyDescent="0.25">
      <c r="A54" s="221" t="s">
        <v>452</v>
      </c>
      <c r="B54" s="226" t="s">
        <v>453</v>
      </c>
      <c r="C54" s="218">
        <v>0</v>
      </c>
      <c r="D54" s="218">
        <v>0</v>
      </c>
      <c r="E54" s="218">
        <f t="shared" si="12"/>
        <v>0</v>
      </c>
      <c r="F54" s="218">
        <f t="shared" si="6"/>
        <v>0</v>
      </c>
      <c r="G54" s="223">
        <v>0</v>
      </c>
      <c r="H54" s="223">
        <v>0</v>
      </c>
      <c r="I54" s="223">
        <v>0</v>
      </c>
      <c r="J54" s="223">
        <v>0</v>
      </c>
      <c r="K54" s="223">
        <v>0</v>
      </c>
      <c r="L54" s="223">
        <v>0</v>
      </c>
      <c r="M54" s="223">
        <v>0</v>
      </c>
      <c r="N54" s="223">
        <v>0</v>
      </c>
      <c r="O54" s="223">
        <v>0</v>
      </c>
      <c r="P54" s="223">
        <v>0</v>
      </c>
      <c r="Q54" s="223">
        <v>0</v>
      </c>
      <c r="R54" s="223">
        <v>0</v>
      </c>
      <c r="S54" s="223">
        <v>0</v>
      </c>
      <c r="T54" s="223">
        <v>0</v>
      </c>
      <c r="U54" s="223">
        <v>0</v>
      </c>
      <c r="V54" s="223">
        <v>0</v>
      </c>
      <c r="W54" s="223">
        <v>0</v>
      </c>
      <c r="X54" s="223">
        <v>0</v>
      </c>
      <c r="Y54" s="223">
        <v>0</v>
      </c>
      <c r="Z54" s="223">
        <v>0</v>
      </c>
      <c r="AA54" s="223">
        <v>0</v>
      </c>
      <c r="AB54" s="218">
        <f t="shared" si="3"/>
        <v>0</v>
      </c>
      <c r="AC54" s="219">
        <f t="shared" si="4"/>
        <v>0</v>
      </c>
    </row>
    <row r="55" spans="1:31" x14ac:dyDescent="0.25">
      <c r="A55" s="221" t="s">
        <v>454</v>
      </c>
      <c r="B55" s="226" t="s">
        <v>455</v>
      </c>
      <c r="C55" s="218">
        <v>0</v>
      </c>
      <c r="D55" s="218">
        <v>0</v>
      </c>
      <c r="E55" s="218">
        <f t="shared" si="12"/>
        <v>0</v>
      </c>
      <c r="F55" s="218">
        <f t="shared" si="6"/>
        <v>0</v>
      </c>
      <c r="G55" s="223">
        <v>0</v>
      </c>
      <c r="H55" s="223">
        <v>0</v>
      </c>
      <c r="I55" s="223">
        <v>0</v>
      </c>
      <c r="J55" s="223">
        <v>0</v>
      </c>
      <c r="K55" s="223">
        <v>0</v>
      </c>
      <c r="L55" s="223">
        <v>0</v>
      </c>
      <c r="M55" s="223">
        <v>0</v>
      </c>
      <c r="N55" s="223">
        <v>0</v>
      </c>
      <c r="O55" s="223">
        <v>0</v>
      </c>
      <c r="P55" s="223">
        <v>0</v>
      </c>
      <c r="Q55" s="223">
        <v>0</v>
      </c>
      <c r="R55" s="223">
        <v>0</v>
      </c>
      <c r="S55" s="223">
        <v>0</v>
      </c>
      <c r="T55" s="223">
        <v>0</v>
      </c>
      <c r="U55" s="223">
        <v>0</v>
      </c>
      <c r="V55" s="223">
        <v>0</v>
      </c>
      <c r="W55" s="223">
        <v>0</v>
      </c>
      <c r="X55" s="223">
        <v>0</v>
      </c>
      <c r="Y55" s="223">
        <v>0</v>
      </c>
      <c r="Z55" s="223">
        <v>0</v>
      </c>
      <c r="AA55" s="223">
        <v>0</v>
      </c>
      <c r="AB55" s="218">
        <f t="shared" si="3"/>
        <v>0</v>
      </c>
      <c r="AC55" s="219">
        <f t="shared" si="4"/>
        <v>0</v>
      </c>
    </row>
    <row r="56" spans="1:31" x14ac:dyDescent="0.25">
      <c r="A56" s="221" t="s">
        <v>456</v>
      </c>
      <c r="B56" s="226" t="s">
        <v>457</v>
      </c>
      <c r="C56" s="218">
        <v>7.0629999999999997</v>
      </c>
      <c r="D56" s="218">
        <v>0</v>
      </c>
      <c r="E56" s="218">
        <f t="shared" si="12"/>
        <v>7.0629999999999997</v>
      </c>
      <c r="F56" s="218">
        <f t="shared" si="6"/>
        <v>7.0629999999999997</v>
      </c>
      <c r="G56" s="223">
        <v>0</v>
      </c>
      <c r="H56" s="223">
        <v>7.0629999999999997</v>
      </c>
      <c r="I56" s="223">
        <v>0</v>
      </c>
      <c r="J56" s="223">
        <v>0</v>
      </c>
      <c r="K56" s="223">
        <v>0</v>
      </c>
      <c r="L56" s="223">
        <v>0</v>
      </c>
      <c r="M56" s="223">
        <v>0</v>
      </c>
      <c r="N56" s="223">
        <f>N47+N48+N49</f>
        <v>7.0629999999999997</v>
      </c>
      <c r="O56" s="223">
        <v>0</v>
      </c>
      <c r="P56" s="223">
        <v>0</v>
      </c>
      <c r="Q56" s="223">
        <v>0</v>
      </c>
      <c r="R56" s="223">
        <v>0</v>
      </c>
      <c r="S56" s="223">
        <v>0</v>
      </c>
      <c r="T56" s="223">
        <v>0</v>
      </c>
      <c r="U56" s="223">
        <v>0</v>
      </c>
      <c r="V56" s="223">
        <v>0</v>
      </c>
      <c r="W56" s="223">
        <v>0</v>
      </c>
      <c r="X56" s="223">
        <v>0</v>
      </c>
      <c r="Y56" s="223">
        <v>0</v>
      </c>
      <c r="Z56" s="223">
        <v>0</v>
      </c>
      <c r="AA56" s="223">
        <v>0</v>
      </c>
      <c r="AB56" s="218">
        <f t="shared" si="3"/>
        <v>7.0629999999999997</v>
      </c>
      <c r="AC56" s="219">
        <f t="shared" si="4"/>
        <v>7.0629999999999997</v>
      </c>
    </row>
    <row r="57" spans="1:31" ht="18.75" x14ac:dyDescent="0.25">
      <c r="A57" s="221" t="s">
        <v>458</v>
      </c>
      <c r="B57" s="226" t="s">
        <v>459</v>
      </c>
      <c r="C57" s="218">
        <v>0</v>
      </c>
      <c r="D57" s="218">
        <v>0</v>
      </c>
      <c r="E57" s="218">
        <f t="shared" si="12"/>
        <v>0</v>
      </c>
      <c r="F57" s="218">
        <f t="shared" si="6"/>
        <v>0</v>
      </c>
      <c r="G57" s="223">
        <v>0</v>
      </c>
      <c r="H57" s="223">
        <v>0</v>
      </c>
      <c r="I57" s="223">
        <v>0</v>
      </c>
      <c r="J57" s="223">
        <v>0</v>
      </c>
      <c r="K57" s="223">
        <v>0</v>
      </c>
      <c r="L57" s="223">
        <v>0</v>
      </c>
      <c r="M57" s="223">
        <v>0</v>
      </c>
      <c r="N57" s="223">
        <v>0</v>
      </c>
      <c r="O57" s="223">
        <v>0</v>
      </c>
      <c r="P57" s="223">
        <v>0</v>
      </c>
      <c r="Q57" s="223">
        <v>0</v>
      </c>
      <c r="R57" s="223">
        <v>0</v>
      </c>
      <c r="S57" s="223">
        <v>0</v>
      </c>
      <c r="T57" s="223">
        <v>0</v>
      </c>
      <c r="U57" s="223">
        <v>0</v>
      </c>
      <c r="V57" s="223">
        <v>0</v>
      </c>
      <c r="W57" s="223">
        <v>0</v>
      </c>
      <c r="X57" s="223">
        <v>0</v>
      </c>
      <c r="Y57" s="223">
        <v>0</v>
      </c>
      <c r="Z57" s="223">
        <v>0</v>
      </c>
      <c r="AA57" s="223">
        <v>0</v>
      </c>
      <c r="AB57" s="218">
        <f t="shared" si="3"/>
        <v>0</v>
      </c>
      <c r="AC57" s="219">
        <f t="shared" si="4"/>
        <v>0</v>
      </c>
    </row>
    <row r="58" spans="1:31" s="225" customFormat="1" ht="36.75" customHeight="1" x14ac:dyDescent="0.25">
      <c r="A58" s="216" t="s">
        <v>30</v>
      </c>
      <c r="B58" s="227" t="s">
        <v>460</v>
      </c>
      <c r="C58" s="218">
        <v>0</v>
      </c>
      <c r="D58" s="218">
        <v>0</v>
      </c>
      <c r="E58" s="218">
        <f t="shared" si="12"/>
        <v>0</v>
      </c>
      <c r="F58" s="218">
        <f t="shared" si="6"/>
        <v>0</v>
      </c>
      <c r="G58" s="218">
        <v>0</v>
      </c>
      <c r="H58" s="218">
        <v>0</v>
      </c>
      <c r="I58" s="218">
        <v>0</v>
      </c>
      <c r="J58" s="218">
        <v>0</v>
      </c>
      <c r="K58" s="218">
        <v>0</v>
      </c>
      <c r="L58" s="218">
        <v>0</v>
      </c>
      <c r="M58" s="218">
        <v>0</v>
      </c>
      <c r="N58" s="218">
        <v>0</v>
      </c>
      <c r="O58" s="218">
        <v>0</v>
      </c>
      <c r="P58" s="218">
        <v>0</v>
      </c>
      <c r="Q58" s="218">
        <v>0</v>
      </c>
      <c r="R58" s="218">
        <v>0</v>
      </c>
      <c r="S58" s="218">
        <v>0</v>
      </c>
      <c r="T58" s="218">
        <v>0</v>
      </c>
      <c r="U58" s="218">
        <v>0</v>
      </c>
      <c r="V58" s="218">
        <v>0</v>
      </c>
      <c r="W58" s="218">
        <v>0</v>
      </c>
      <c r="X58" s="218">
        <v>0</v>
      </c>
      <c r="Y58" s="218">
        <v>0</v>
      </c>
      <c r="Z58" s="218">
        <v>0</v>
      </c>
      <c r="AA58" s="218">
        <v>0</v>
      </c>
      <c r="AB58" s="218">
        <f t="shared" si="3"/>
        <v>0</v>
      </c>
      <c r="AC58" s="219">
        <f t="shared" si="4"/>
        <v>0</v>
      </c>
    </row>
    <row r="59" spans="1:31" s="225" customFormat="1" x14ac:dyDescent="0.25">
      <c r="A59" s="216" t="s">
        <v>33</v>
      </c>
      <c r="B59" s="217" t="s">
        <v>461</v>
      </c>
      <c r="C59" s="218">
        <v>0</v>
      </c>
      <c r="D59" s="218">
        <v>0</v>
      </c>
      <c r="E59" s="218">
        <f t="shared" si="12"/>
        <v>0</v>
      </c>
      <c r="F59" s="218">
        <f t="shared" si="6"/>
        <v>0</v>
      </c>
      <c r="G59" s="218">
        <v>0</v>
      </c>
      <c r="H59" s="218">
        <v>0</v>
      </c>
      <c r="I59" s="218">
        <v>0</v>
      </c>
      <c r="J59" s="218">
        <v>0</v>
      </c>
      <c r="K59" s="218">
        <v>0</v>
      </c>
      <c r="L59" s="218">
        <v>0</v>
      </c>
      <c r="M59" s="218">
        <v>0</v>
      </c>
      <c r="N59" s="218">
        <v>0</v>
      </c>
      <c r="O59" s="218">
        <v>0</v>
      </c>
      <c r="P59" s="218">
        <v>0</v>
      </c>
      <c r="Q59" s="218">
        <v>0</v>
      </c>
      <c r="R59" s="218">
        <v>0</v>
      </c>
      <c r="S59" s="218">
        <v>0</v>
      </c>
      <c r="T59" s="218">
        <v>0</v>
      </c>
      <c r="U59" s="218">
        <v>0</v>
      </c>
      <c r="V59" s="218">
        <v>0</v>
      </c>
      <c r="W59" s="218">
        <v>0</v>
      </c>
      <c r="X59" s="218">
        <v>0</v>
      </c>
      <c r="Y59" s="218">
        <v>0</v>
      </c>
      <c r="Z59" s="218">
        <v>0</v>
      </c>
      <c r="AA59" s="218">
        <v>0</v>
      </c>
      <c r="AB59" s="218">
        <f t="shared" si="3"/>
        <v>0</v>
      </c>
      <c r="AC59" s="219">
        <f t="shared" si="4"/>
        <v>0</v>
      </c>
    </row>
    <row r="60" spans="1:31" x14ac:dyDescent="0.25">
      <c r="A60" s="221" t="s">
        <v>462</v>
      </c>
      <c r="B60" s="228" t="s">
        <v>441</v>
      </c>
      <c r="C60" s="218">
        <v>0</v>
      </c>
      <c r="D60" s="218">
        <v>0</v>
      </c>
      <c r="E60" s="218">
        <f t="shared" si="12"/>
        <v>0</v>
      </c>
      <c r="F60" s="218">
        <f t="shared" si="6"/>
        <v>0</v>
      </c>
      <c r="G60" s="223">
        <v>0</v>
      </c>
      <c r="H60" s="223">
        <v>0</v>
      </c>
      <c r="I60" s="223">
        <v>0</v>
      </c>
      <c r="J60" s="223">
        <v>0</v>
      </c>
      <c r="K60" s="223">
        <v>0</v>
      </c>
      <c r="L60" s="223">
        <v>0</v>
      </c>
      <c r="M60" s="223">
        <v>0</v>
      </c>
      <c r="N60" s="223">
        <v>0</v>
      </c>
      <c r="O60" s="223">
        <v>0</v>
      </c>
      <c r="P60" s="223">
        <v>0</v>
      </c>
      <c r="Q60" s="223">
        <v>0</v>
      </c>
      <c r="R60" s="223">
        <v>0</v>
      </c>
      <c r="S60" s="223">
        <v>0</v>
      </c>
      <c r="T60" s="223">
        <v>0</v>
      </c>
      <c r="U60" s="223">
        <v>0</v>
      </c>
      <c r="V60" s="223">
        <v>0</v>
      </c>
      <c r="W60" s="223">
        <v>0</v>
      </c>
      <c r="X60" s="223">
        <v>0</v>
      </c>
      <c r="Y60" s="223">
        <v>0</v>
      </c>
      <c r="Z60" s="223">
        <v>0</v>
      </c>
      <c r="AA60" s="223">
        <v>0</v>
      </c>
      <c r="AB60" s="218">
        <f t="shared" si="3"/>
        <v>0</v>
      </c>
      <c r="AC60" s="219">
        <f t="shared" si="4"/>
        <v>0</v>
      </c>
    </row>
    <row r="61" spans="1:31" x14ac:dyDescent="0.25">
      <c r="A61" s="221" t="s">
        <v>463</v>
      </c>
      <c r="B61" s="228" t="s">
        <v>428</v>
      </c>
      <c r="C61" s="218">
        <v>0</v>
      </c>
      <c r="D61" s="218">
        <v>0</v>
      </c>
      <c r="E61" s="218">
        <f t="shared" si="12"/>
        <v>0</v>
      </c>
      <c r="F61" s="218">
        <f t="shared" si="6"/>
        <v>0</v>
      </c>
      <c r="G61" s="223">
        <v>0</v>
      </c>
      <c r="H61" s="223">
        <v>0</v>
      </c>
      <c r="I61" s="223">
        <v>0</v>
      </c>
      <c r="J61" s="223">
        <v>0</v>
      </c>
      <c r="K61" s="223">
        <v>0</v>
      </c>
      <c r="L61" s="223">
        <v>0</v>
      </c>
      <c r="M61" s="223">
        <v>0</v>
      </c>
      <c r="N61" s="223">
        <v>0</v>
      </c>
      <c r="O61" s="223">
        <v>0</v>
      </c>
      <c r="P61" s="223">
        <v>0</v>
      </c>
      <c r="Q61" s="223">
        <v>0</v>
      </c>
      <c r="R61" s="223">
        <v>0</v>
      </c>
      <c r="S61" s="223">
        <v>0</v>
      </c>
      <c r="T61" s="223">
        <v>0</v>
      </c>
      <c r="U61" s="223">
        <v>0</v>
      </c>
      <c r="V61" s="223">
        <v>0</v>
      </c>
      <c r="W61" s="223">
        <v>0</v>
      </c>
      <c r="X61" s="223">
        <v>0</v>
      </c>
      <c r="Y61" s="223">
        <v>0</v>
      </c>
      <c r="Z61" s="223">
        <v>0</v>
      </c>
      <c r="AA61" s="223">
        <v>0</v>
      </c>
      <c r="AB61" s="218">
        <f t="shared" si="3"/>
        <v>0</v>
      </c>
      <c r="AC61" s="219">
        <f t="shared" si="4"/>
        <v>0</v>
      </c>
    </row>
    <row r="62" spans="1:31" x14ac:dyDescent="0.25">
      <c r="A62" s="221" t="s">
        <v>464</v>
      </c>
      <c r="B62" s="228" t="s">
        <v>430</v>
      </c>
      <c r="C62" s="218">
        <v>0</v>
      </c>
      <c r="D62" s="218">
        <v>0</v>
      </c>
      <c r="E62" s="218">
        <f t="shared" si="12"/>
        <v>0</v>
      </c>
      <c r="F62" s="218">
        <f t="shared" si="6"/>
        <v>0</v>
      </c>
      <c r="G62" s="223">
        <v>0</v>
      </c>
      <c r="H62" s="223">
        <v>0</v>
      </c>
      <c r="I62" s="223">
        <v>0</v>
      </c>
      <c r="J62" s="223">
        <v>0</v>
      </c>
      <c r="K62" s="223">
        <v>0</v>
      </c>
      <c r="L62" s="223">
        <v>0</v>
      </c>
      <c r="M62" s="223">
        <v>0</v>
      </c>
      <c r="N62" s="223">
        <v>0</v>
      </c>
      <c r="O62" s="223">
        <v>0</v>
      </c>
      <c r="P62" s="223">
        <v>0</v>
      </c>
      <c r="Q62" s="223">
        <v>0</v>
      </c>
      <c r="R62" s="223">
        <v>0</v>
      </c>
      <c r="S62" s="223">
        <v>0</v>
      </c>
      <c r="T62" s="223">
        <v>0</v>
      </c>
      <c r="U62" s="223">
        <v>0</v>
      </c>
      <c r="V62" s="223">
        <v>0</v>
      </c>
      <c r="W62" s="223">
        <v>0</v>
      </c>
      <c r="X62" s="223">
        <v>0</v>
      </c>
      <c r="Y62" s="223">
        <v>0</v>
      </c>
      <c r="Z62" s="223">
        <v>0</v>
      </c>
      <c r="AA62" s="223">
        <v>0</v>
      </c>
      <c r="AB62" s="218">
        <f t="shared" si="3"/>
        <v>0</v>
      </c>
      <c r="AC62" s="219">
        <f t="shared" si="4"/>
        <v>0</v>
      </c>
    </row>
    <row r="63" spans="1:31" x14ac:dyDescent="0.25">
      <c r="A63" s="221" t="s">
        <v>465</v>
      </c>
      <c r="B63" s="228" t="s">
        <v>466</v>
      </c>
      <c r="C63" s="218">
        <v>7.0629999999999997</v>
      </c>
      <c r="D63" s="218">
        <v>0</v>
      </c>
      <c r="E63" s="218">
        <f t="shared" si="12"/>
        <v>7.0629999999999997</v>
      </c>
      <c r="F63" s="218">
        <f t="shared" si="6"/>
        <v>7.0629999999999997</v>
      </c>
      <c r="G63" s="223">
        <v>0</v>
      </c>
      <c r="H63" s="223">
        <v>7.0629999999999997</v>
      </c>
      <c r="I63" s="223">
        <v>0</v>
      </c>
      <c r="J63" s="223">
        <v>0</v>
      </c>
      <c r="K63" s="223">
        <v>0</v>
      </c>
      <c r="L63" s="223">
        <v>0</v>
      </c>
      <c r="M63" s="223">
        <v>0</v>
      </c>
      <c r="N63" s="223">
        <v>7.0629999999999997</v>
      </c>
      <c r="O63" s="223">
        <v>0</v>
      </c>
      <c r="P63" s="223">
        <v>0</v>
      </c>
      <c r="Q63" s="223">
        <v>0</v>
      </c>
      <c r="R63" s="223">
        <v>0</v>
      </c>
      <c r="S63" s="223">
        <v>0</v>
      </c>
      <c r="T63" s="223">
        <v>0</v>
      </c>
      <c r="U63" s="223">
        <v>0</v>
      </c>
      <c r="V63" s="223">
        <v>0</v>
      </c>
      <c r="W63" s="223">
        <v>0</v>
      </c>
      <c r="X63" s="223">
        <v>0</v>
      </c>
      <c r="Y63" s="223">
        <v>0</v>
      </c>
      <c r="Z63" s="223">
        <v>0</v>
      </c>
      <c r="AA63" s="223">
        <v>0</v>
      </c>
      <c r="AB63" s="218">
        <f t="shared" si="3"/>
        <v>7.0629999999999997</v>
      </c>
      <c r="AC63" s="219">
        <f t="shared" si="4"/>
        <v>7.0629999999999997</v>
      </c>
    </row>
    <row r="64" spans="1:31" ht="18.75" x14ac:dyDescent="0.25">
      <c r="A64" s="221" t="s">
        <v>467</v>
      </c>
      <c r="B64" s="226" t="s">
        <v>459</v>
      </c>
      <c r="C64" s="218">
        <v>0</v>
      </c>
      <c r="D64" s="218">
        <v>0</v>
      </c>
      <c r="E64" s="218">
        <f t="shared" si="12"/>
        <v>0</v>
      </c>
      <c r="F64" s="218">
        <f t="shared" si="6"/>
        <v>0</v>
      </c>
      <c r="G64" s="223">
        <v>0</v>
      </c>
      <c r="H64" s="223">
        <v>0</v>
      </c>
      <c r="I64" s="223">
        <v>0</v>
      </c>
      <c r="J64" s="223">
        <v>0</v>
      </c>
      <c r="K64" s="223">
        <v>0</v>
      </c>
      <c r="L64" s="223">
        <v>0</v>
      </c>
      <c r="M64" s="223">
        <v>0</v>
      </c>
      <c r="N64" s="223">
        <v>0</v>
      </c>
      <c r="O64" s="223">
        <v>0</v>
      </c>
      <c r="P64" s="223">
        <v>0</v>
      </c>
      <c r="Q64" s="223">
        <v>0</v>
      </c>
      <c r="R64" s="223">
        <v>0</v>
      </c>
      <c r="S64" s="223">
        <v>0</v>
      </c>
      <c r="T64" s="223">
        <v>0</v>
      </c>
      <c r="U64" s="223">
        <v>0</v>
      </c>
      <c r="V64" s="223">
        <v>0</v>
      </c>
      <c r="W64" s="223">
        <v>0</v>
      </c>
      <c r="X64" s="223">
        <v>0</v>
      </c>
      <c r="Y64" s="223">
        <v>0</v>
      </c>
      <c r="Z64" s="223">
        <v>0</v>
      </c>
      <c r="AA64" s="223">
        <v>0</v>
      </c>
      <c r="AB64" s="218">
        <f t="shared" si="3"/>
        <v>0</v>
      </c>
      <c r="AC64" s="219">
        <f t="shared" si="4"/>
        <v>0</v>
      </c>
    </row>
    <row r="65" spans="1:28" x14ac:dyDescent="0.25">
      <c r="A65" s="229"/>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row>
    <row r="66" spans="1:28" ht="54" customHeight="1" x14ac:dyDescent="0.25">
      <c r="B66" s="390"/>
      <c r="C66" s="390"/>
      <c r="D66" s="390"/>
      <c r="E66" s="390"/>
      <c r="F66" s="390"/>
      <c r="G66" s="390"/>
      <c r="H66" s="390"/>
      <c r="I66" s="390"/>
      <c r="J66" s="390"/>
      <c r="K66" s="390"/>
      <c r="L66" s="390"/>
      <c r="M66" s="390"/>
      <c r="N66" s="390"/>
      <c r="O66" s="390"/>
      <c r="P66" s="390"/>
      <c r="Q66" s="390"/>
      <c r="R66" s="193"/>
      <c r="S66" s="193"/>
      <c r="T66" s="193"/>
      <c r="U66" s="193"/>
      <c r="V66" s="193"/>
      <c r="W66" s="193"/>
      <c r="X66" s="193"/>
      <c r="Y66" s="193"/>
      <c r="Z66" s="193"/>
      <c r="AA66" s="193"/>
      <c r="AB66" s="231"/>
    </row>
    <row r="68" spans="1:28" ht="50.25" customHeight="1" x14ac:dyDescent="0.25">
      <c r="B68" s="390"/>
      <c r="C68" s="390"/>
      <c r="D68" s="390"/>
      <c r="E68" s="390"/>
      <c r="F68" s="390"/>
      <c r="G68" s="390"/>
      <c r="H68" s="390"/>
      <c r="I68" s="390"/>
      <c r="J68" s="390"/>
      <c r="K68" s="390"/>
      <c r="L68" s="390"/>
      <c r="M68" s="390"/>
      <c r="N68" s="390"/>
      <c r="O68" s="390"/>
      <c r="P68" s="390"/>
      <c r="Q68" s="390"/>
      <c r="R68" s="193"/>
      <c r="S68" s="193"/>
      <c r="T68" s="193"/>
      <c r="U68" s="193"/>
      <c r="V68" s="193"/>
      <c r="W68" s="193"/>
      <c r="X68" s="193"/>
      <c r="Y68" s="193"/>
      <c r="Z68" s="193"/>
      <c r="AA68" s="193"/>
    </row>
    <row r="70" spans="1:28" ht="36.75" customHeight="1" x14ac:dyDescent="0.25">
      <c r="B70" s="390"/>
      <c r="C70" s="390"/>
      <c r="D70" s="390"/>
      <c r="E70" s="390"/>
      <c r="F70" s="390"/>
      <c r="G70" s="390"/>
      <c r="H70" s="390"/>
      <c r="I70" s="390"/>
      <c r="J70" s="390"/>
      <c r="K70" s="390"/>
      <c r="L70" s="390"/>
      <c r="M70" s="390"/>
      <c r="N70" s="390"/>
      <c r="O70" s="390"/>
      <c r="P70" s="390"/>
      <c r="Q70" s="390"/>
      <c r="R70" s="193"/>
      <c r="S70" s="193"/>
      <c r="T70" s="193"/>
      <c r="U70" s="193"/>
      <c r="V70" s="193"/>
      <c r="W70" s="193"/>
      <c r="X70" s="193"/>
      <c r="Y70" s="193"/>
      <c r="Z70" s="193"/>
      <c r="AA70" s="193"/>
    </row>
    <row r="72" spans="1:28" ht="51" customHeight="1" x14ac:dyDescent="0.25">
      <c r="B72" s="390"/>
      <c r="C72" s="390"/>
      <c r="D72" s="390"/>
      <c r="E72" s="390"/>
      <c r="F72" s="390"/>
      <c r="G72" s="390"/>
      <c r="H72" s="390"/>
      <c r="I72" s="390"/>
      <c r="J72" s="390"/>
      <c r="K72" s="390"/>
      <c r="L72" s="390"/>
      <c r="M72" s="390"/>
      <c r="N72" s="390"/>
      <c r="O72" s="390"/>
      <c r="P72" s="390"/>
      <c r="Q72" s="390"/>
      <c r="R72" s="193"/>
      <c r="S72" s="193"/>
      <c r="T72" s="193"/>
      <c r="U72" s="193"/>
      <c r="V72" s="193"/>
      <c r="W72" s="193"/>
      <c r="X72" s="193"/>
      <c r="Y72" s="193"/>
      <c r="Z72" s="193"/>
      <c r="AA72" s="193"/>
    </row>
    <row r="73" spans="1:28" ht="32.25" customHeight="1" x14ac:dyDescent="0.25">
      <c r="B73" s="390"/>
      <c r="C73" s="390"/>
      <c r="D73" s="390"/>
      <c r="E73" s="390"/>
      <c r="F73" s="390"/>
      <c r="G73" s="390"/>
      <c r="H73" s="390"/>
      <c r="I73" s="390"/>
      <c r="J73" s="390"/>
      <c r="K73" s="390"/>
      <c r="L73" s="390"/>
      <c r="M73" s="390"/>
      <c r="N73" s="390"/>
      <c r="O73" s="390"/>
      <c r="P73" s="390"/>
      <c r="Q73" s="390"/>
      <c r="R73" s="193"/>
      <c r="S73" s="193"/>
      <c r="T73" s="193"/>
      <c r="U73" s="193"/>
      <c r="V73" s="193"/>
      <c r="W73" s="193"/>
      <c r="X73" s="193"/>
      <c r="Y73" s="193"/>
      <c r="Z73" s="193"/>
      <c r="AA73" s="193"/>
    </row>
    <row r="74" spans="1:28" ht="51.75" customHeight="1" x14ac:dyDescent="0.25">
      <c r="B74" s="390"/>
      <c r="C74" s="390"/>
      <c r="D74" s="390"/>
      <c r="E74" s="390"/>
      <c r="F74" s="390"/>
      <c r="G74" s="390"/>
      <c r="H74" s="390"/>
      <c r="I74" s="390"/>
      <c r="J74" s="390"/>
      <c r="K74" s="390"/>
      <c r="L74" s="390"/>
      <c r="M74" s="390"/>
      <c r="N74" s="390"/>
      <c r="O74" s="390"/>
      <c r="P74" s="390"/>
      <c r="Q74" s="390"/>
      <c r="R74" s="193"/>
      <c r="S74" s="193"/>
      <c r="T74" s="193"/>
      <c r="U74" s="193"/>
      <c r="V74" s="193"/>
      <c r="W74" s="193"/>
      <c r="X74" s="193"/>
      <c r="Y74" s="193"/>
      <c r="Z74" s="193"/>
      <c r="AA74" s="193"/>
    </row>
    <row r="75" spans="1:28" ht="21.75" customHeight="1" x14ac:dyDescent="0.25">
      <c r="B75" s="391"/>
      <c r="C75" s="391"/>
      <c r="D75" s="391"/>
      <c r="E75" s="391"/>
      <c r="F75" s="391"/>
      <c r="G75" s="391"/>
      <c r="H75" s="391"/>
      <c r="I75" s="391"/>
      <c r="J75" s="391"/>
      <c r="K75" s="391"/>
      <c r="L75" s="391"/>
      <c r="M75" s="391"/>
      <c r="N75" s="391"/>
      <c r="O75" s="391"/>
      <c r="P75" s="391"/>
      <c r="Q75" s="391"/>
      <c r="R75" s="232"/>
      <c r="S75" s="232"/>
      <c r="T75" s="232"/>
      <c r="U75" s="232"/>
      <c r="V75" s="232"/>
      <c r="W75" s="232"/>
      <c r="X75" s="232"/>
      <c r="Y75" s="232"/>
      <c r="Z75" s="232"/>
      <c r="AA75" s="232"/>
    </row>
    <row r="76" spans="1:28" ht="23.25" customHeight="1" x14ac:dyDescent="0.25"/>
    <row r="77" spans="1:28" ht="18.75" customHeight="1" x14ac:dyDescent="0.25">
      <c r="B77" s="392"/>
      <c r="C77" s="392"/>
      <c r="D77" s="392"/>
      <c r="E77" s="392"/>
      <c r="F77" s="392"/>
      <c r="G77" s="392"/>
      <c r="H77" s="392"/>
      <c r="I77" s="392"/>
      <c r="J77" s="392"/>
      <c r="K77" s="392"/>
      <c r="L77" s="392"/>
      <c r="M77" s="392"/>
      <c r="N77" s="392"/>
      <c r="O77" s="392"/>
      <c r="P77" s="392"/>
      <c r="Q77" s="392"/>
      <c r="R77" s="230"/>
      <c r="S77" s="230"/>
      <c r="T77" s="230"/>
      <c r="U77" s="230"/>
      <c r="V77" s="230"/>
      <c r="W77" s="230"/>
      <c r="X77" s="230"/>
      <c r="Y77" s="230"/>
      <c r="Z77" s="230"/>
      <c r="AA77" s="230"/>
    </row>
  </sheetData>
  <mergeCells count="39">
    <mergeCell ref="B74:Q74"/>
    <mergeCell ref="B75:Q75"/>
    <mergeCell ref="B77:Q77"/>
    <mergeCell ref="B66:Q66"/>
    <mergeCell ref="B68:Q68"/>
    <mergeCell ref="B70:Q70"/>
    <mergeCell ref="B72:Q72"/>
    <mergeCell ref="B73:Q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D24:E24">
    <cfRule type="cellIs" dxfId="16" priority="51" operator="greaterThan">
      <formula>0</formula>
    </cfRule>
  </conditionalFormatting>
  <conditionalFormatting sqref="E24:E29 D24 E32:E64">
    <cfRule type="cellIs" dxfId="15" priority="47" operator="notEqual">
      <formula>0</formula>
    </cfRule>
  </conditionalFormatting>
  <conditionalFormatting sqref="E24 D24:D29 D31:D64">
    <cfRule type="cellIs" dxfId="14" priority="43" operator="notEqual">
      <formula>0</formula>
    </cfRule>
  </conditionalFormatting>
  <conditionalFormatting sqref="D30:F30">
    <cfRule type="cellIs" dxfId="13" priority="34" operator="greaterThan">
      <formula>0</formula>
    </cfRule>
  </conditionalFormatting>
  <conditionalFormatting sqref="D30:F30">
    <cfRule type="cellIs" dxfId="12" priority="30" operator="notEqual">
      <formula>0</formula>
    </cfRule>
  </conditionalFormatting>
  <conditionalFormatting sqref="F24:F29 F31:F64 H24:AB64">
    <cfRule type="cellIs" dxfId="11" priority="17" operator="notEqual">
      <formula>0</formula>
    </cfRule>
  </conditionalFormatting>
  <conditionalFormatting sqref="AC24:AC64">
    <cfRule type="cellIs" dxfId="10" priority="16" operator="notEqual">
      <formula>0</formula>
    </cfRule>
  </conditionalFormatting>
  <conditionalFormatting sqref="L24:S29 L31:S64">
    <cfRule type="cellIs" dxfId="9" priority="15" operator="notEqual">
      <formula>0</formula>
    </cfRule>
  </conditionalFormatting>
  <conditionalFormatting sqref="E31">
    <cfRule type="cellIs" dxfId="8" priority="14" operator="notEqual">
      <formula>0</formula>
    </cfRule>
  </conditionalFormatting>
  <conditionalFormatting sqref="G24:G64">
    <cfRule type="cellIs" dxfId="7" priority="8" operator="notEqual">
      <formula>0</formula>
    </cfRule>
  </conditionalFormatting>
  <conditionalFormatting sqref="C24">
    <cfRule type="cellIs" dxfId="6" priority="7" operator="greaterThan">
      <formula>0</formula>
    </cfRule>
  </conditionalFormatting>
  <conditionalFormatting sqref="C24">
    <cfRule type="cellIs" dxfId="5" priority="6" operator="notEqual">
      <formula>0</formula>
    </cfRule>
  </conditionalFormatting>
  <conditionalFormatting sqref="C24:C29 C31:C64">
    <cfRule type="cellIs" dxfId="4" priority="5" operator="notEqual">
      <formula>0</formula>
    </cfRule>
  </conditionalFormatting>
  <conditionalFormatting sqref="C30">
    <cfRule type="cellIs" dxfId="3" priority="4" operator="greaterThan">
      <formula>0</formula>
    </cfRule>
  </conditionalFormatting>
  <conditionalFormatting sqref="C30">
    <cfRule type="cellIs" dxfId="2" priority="3" operator="notEqual">
      <formula>0</formula>
    </cfRule>
  </conditionalFormatting>
  <conditionalFormatting sqref="K24:K29 K31:K64">
    <cfRule type="cellIs" dxfId="1" priority="2" operator="notEqual">
      <formula>0</formula>
    </cfRule>
  </conditionalFormatting>
  <conditionalFormatting sqref="I24:I29 I31:I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7"/>
  <sheetViews>
    <sheetView view="pageBreakPreview" topLeftCell="A19" zoomScale="85" workbookViewId="0">
      <selection activeCell="I27" sqref="I27"/>
    </sheetView>
  </sheetViews>
  <sheetFormatPr defaultColWidth="9.140625" defaultRowHeight="15" x14ac:dyDescent="0.25"/>
  <cols>
    <col min="1" max="1" width="6.140625" style="62" customWidth="1"/>
    <col min="2" max="2" width="23.140625" style="62" customWidth="1"/>
    <col min="3" max="3" width="13.85546875" style="62" customWidth="1"/>
    <col min="4" max="4" width="15.140625" style="62" customWidth="1"/>
    <col min="5" max="12" width="7.7109375" style="62" customWidth="1"/>
    <col min="13" max="13" width="10.7109375" style="62" customWidth="1"/>
    <col min="14" max="14" width="44.28515625" style="62" customWidth="1"/>
    <col min="15" max="15" width="10.710937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15.42578125" style="62" customWidth="1"/>
    <col min="24" max="25" width="10.7109375" style="62" customWidth="1"/>
    <col min="26" max="26" width="7.7109375" style="62" customWidth="1"/>
    <col min="27" max="28" width="10.7109375" style="62" customWidth="1"/>
    <col min="29" max="29" width="11.7109375" style="62" customWidth="1"/>
    <col min="30" max="30" width="13.5703125" style="62" customWidth="1"/>
    <col min="31" max="31" width="15.85546875" style="62" customWidth="1"/>
    <col min="32" max="32" width="11.7109375" style="62" customWidth="1"/>
    <col min="33" max="33" width="11.5703125" style="62" customWidth="1"/>
    <col min="34" max="35" width="9.7109375"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6" width="13.28515625" style="62" customWidth="1"/>
    <col min="47" max="47" width="10.7109375" style="62" customWidth="1"/>
    <col min="48" max="48" width="16.7109375" style="62" customWidth="1"/>
    <col min="49" max="16384" width="9.140625" style="62"/>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09" t="str">
        <f>'1. паспорт местоположение'!A5:C5</f>
        <v>Год раскрытия информации: 2025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5"/>
    </row>
    <row r="7" spans="1:48" ht="18.75" x14ac:dyDescent="0.25">
      <c r="A7" s="310" t="s">
        <v>4</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row>
    <row r="8" spans="1:48"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row>
    <row r="9" spans="1:48" x14ac:dyDescent="0.25">
      <c r="A9" s="322" t="str">
        <f>'1. паспорт местоположение'!A9:C9</f>
        <v>Акционерное общество "Россети Янтарь" ДЗО  ПАО "Россети"</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12" t="s">
        <v>6</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row>
    <row r="11" spans="1:48"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row>
    <row r="12" spans="1:48" x14ac:dyDescent="0.25">
      <c r="A12" s="322" t="str">
        <f>'1. паспорт местоположение'!A12:C12</f>
        <v>H_16-0403</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row>
    <row r="14" spans="1:4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row>
    <row r="15" spans="1:48" x14ac:dyDescent="0.25">
      <c r="A15" s="322"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ht="15.75" x14ac:dyDescent="0.25">
      <c r="A16" s="312" t="s">
        <v>10</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row>
    <row r="21" spans="1:48" x14ac:dyDescent="0.25">
      <c r="A21" s="393" t="s">
        <v>468</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ht="58.5" customHeight="1" x14ac:dyDescent="0.25">
      <c r="A22" s="394" t="s">
        <v>469</v>
      </c>
      <c r="B22" s="397" t="s">
        <v>470</v>
      </c>
      <c r="C22" s="394" t="s">
        <v>471</v>
      </c>
      <c r="D22" s="394" t="s">
        <v>472</v>
      </c>
      <c r="E22" s="400" t="s">
        <v>473</v>
      </c>
      <c r="F22" s="401"/>
      <c r="G22" s="401"/>
      <c r="H22" s="401"/>
      <c r="I22" s="401"/>
      <c r="J22" s="401"/>
      <c r="K22" s="401"/>
      <c r="L22" s="402"/>
      <c r="M22" s="394" t="s">
        <v>474</v>
      </c>
      <c r="N22" s="394" t="s">
        <v>475</v>
      </c>
      <c r="O22" s="394" t="s">
        <v>476</v>
      </c>
      <c r="P22" s="403" t="s">
        <v>477</v>
      </c>
      <c r="Q22" s="403" t="s">
        <v>478</v>
      </c>
      <c r="R22" s="403" t="s">
        <v>479</v>
      </c>
      <c r="S22" s="403" t="s">
        <v>480</v>
      </c>
      <c r="T22" s="403"/>
      <c r="U22" s="404" t="s">
        <v>481</v>
      </c>
      <c r="V22" s="404" t="s">
        <v>482</v>
      </c>
      <c r="W22" s="403" t="s">
        <v>483</v>
      </c>
      <c r="X22" s="403" t="s">
        <v>484</v>
      </c>
      <c r="Y22" s="403" t="s">
        <v>485</v>
      </c>
      <c r="Z22" s="405" t="s">
        <v>486</v>
      </c>
      <c r="AA22" s="403" t="s">
        <v>487</v>
      </c>
      <c r="AB22" s="403" t="s">
        <v>488</v>
      </c>
      <c r="AC22" s="403" t="s">
        <v>489</v>
      </c>
      <c r="AD22" s="403" t="s">
        <v>490</v>
      </c>
      <c r="AE22" s="403" t="s">
        <v>491</v>
      </c>
      <c r="AF22" s="403" t="s">
        <v>492</v>
      </c>
      <c r="AG22" s="403"/>
      <c r="AH22" s="403"/>
      <c r="AI22" s="403"/>
      <c r="AJ22" s="403"/>
      <c r="AK22" s="403"/>
      <c r="AL22" s="403" t="s">
        <v>493</v>
      </c>
      <c r="AM22" s="403"/>
      <c r="AN22" s="403"/>
      <c r="AO22" s="403"/>
      <c r="AP22" s="403" t="s">
        <v>494</v>
      </c>
      <c r="AQ22" s="403"/>
      <c r="AR22" s="403" t="s">
        <v>495</v>
      </c>
      <c r="AS22" s="403" t="s">
        <v>496</v>
      </c>
      <c r="AT22" s="403" t="s">
        <v>497</v>
      </c>
      <c r="AU22" s="403" t="s">
        <v>498</v>
      </c>
      <c r="AV22" s="408" t="s">
        <v>499</v>
      </c>
    </row>
    <row r="23" spans="1:48" ht="64.5" customHeight="1" x14ac:dyDescent="0.25">
      <c r="A23" s="395"/>
      <c r="B23" s="398"/>
      <c r="C23" s="395"/>
      <c r="D23" s="395"/>
      <c r="E23" s="410" t="s">
        <v>500</v>
      </c>
      <c r="F23" s="412" t="s">
        <v>299</v>
      </c>
      <c r="G23" s="412" t="s">
        <v>453</v>
      </c>
      <c r="H23" s="412" t="s">
        <v>455</v>
      </c>
      <c r="I23" s="414" t="s">
        <v>501</v>
      </c>
      <c r="J23" s="414" t="s">
        <v>502</v>
      </c>
      <c r="K23" s="414" t="s">
        <v>503</v>
      </c>
      <c r="L23" s="412" t="s">
        <v>217</v>
      </c>
      <c r="M23" s="395"/>
      <c r="N23" s="395"/>
      <c r="O23" s="395"/>
      <c r="P23" s="403"/>
      <c r="Q23" s="403"/>
      <c r="R23" s="403"/>
      <c r="S23" s="416" t="s">
        <v>325</v>
      </c>
      <c r="T23" s="416" t="s">
        <v>326</v>
      </c>
      <c r="U23" s="404"/>
      <c r="V23" s="404"/>
      <c r="W23" s="403"/>
      <c r="X23" s="403"/>
      <c r="Y23" s="403"/>
      <c r="Z23" s="403"/>
      <c r="AA23" s="403"/>
      <c r="AB23" s="403"/>
      <c r="AC23" s="403"/>
      <c r="AD23" s="403"/>
      <c r="AE23" s="403"/>
      <c r="AF23" s="403" t="s">
        <v>504</v>
      </c>
      <c r="AG23" s="403"/>
      <c r="AH23" s="403" t="s">
        <v>505</v>
      </c>
      <c r="AI23" s="403"/>
      <c r="AJ23" s="394" t="s">
        <v>506</v>
      </c>
      <c r="AK23" s="394" t="s">
        <v>507</v>
      </c>
      <c r="AL23" s="394" t="s">
        <v>508</v>
      </c>
      <c r="AM23" s="394" t="s">
        <v>509</v>
      </c>
      <c r="AN23" s="394" t="s">
        <v>510</v>
      </c>
      <c r="AO23" s="394" t="s">
        <v>511</v>
      </c>
      <c r="AP23" s="394" t="s">
        <v>512</v>
      </c>
      <c r="AQ23" s="406" t="s">
        <v>326</v>
      </c>
      <c r="AR23" s="403"/>
      <c r="AS23" s="403"/>
      <c r="AT23" s="403"/>
      <c r="AU23" s="403"/>
      <c r="AV23" s="409"/>
    </row>
    <row r="24" spans="1:48" ht="96.75" customHeight="1" x14ac:dyDescent="0.25">
      <c r="A24" s="396"/>
      <c r="B24" s="399"/>
      <c r="C24" s="396"/>
      <c r="D24" s="396"/>
      <c r="E24" s="411"/>
      <c r="F24" s="413"/>
      <c r="G24" s="413"/>
      <c r="H24" s="413"/>
      <c r="I24" s="415"/>
      <c r="J24" s="415"/>
      <c r="K24" s="415"/>
      <c r="L24" s="413"/>
      <c r="M24" s="396"/>
      <c r="N24" s="396"/>
      <c r="O24" s="396"/>
      <c r="P24" s="403"/>
      <c r="Q24" s="403"/>
      <c r="R24" s="403"/>
      <c r="S24" s="417"/>
      <c r="T24" s="417"/>
      <c r="U24" s="404"/>
      <c r="V24" s="404"/>
      <c r="W24" s="403"/>
      <c r="X24" s="403"/>
      <c r="Y24" s="403"/>
      <c r="Z24" s="403"/>
      <c r="AA24" s="403"/>
      <c r="AB24" s="403"/>
      <c r="AC24" s="403"/>
      <c r="AD24" s="403"/>
      <c r="AE24" s="403"/>
      <c r="AF24" s="233" t="s">
        <v>513</v>
      </c>
      <c r="AG24" s="233" t="s">
        <v>514</v>
      </c>
      <c r="AH24" s="234" t="s">
        <v>325</v>
      </c>
      <c r="AI24" s="234" t="s">
        <v>326</v>
      </c>
      <c r="AJ24" s="396"/>
      <c r="AK24" s="396"/>
      <c r="AL24" s="396"/>
      <c r="AM24" s="396"/>
      <c r="AN24" s="396"/>
      <c r="AO24" s="396"/>
      <c r="AP24" s="396"/>
      <c r="AQ24" s="407"/>
      <c r="AR24" s="403"/>
      <c r="AS24" s="403"/>
      <c r="AT24" s="403"/>
      <c r="AU24" s="403"/>
      <c r="AV24" s="409"/>
    </row>
    <row r="25" spans="1:48" s="235" customFormat="1" ht="11.25" x14ac:dyDescent="0.2">
      <c r="A25" s="236">
        <v>1</v>
      </c>
      <c r="B25" s="236">
        <v>2</v>
      </c>
      <c r="C25" s="236">
        <v>4</v>
      </c>
      <c r="D25" s="236">
        <v>5</v>
      </c>
      <c r="E25" s="236">
        <v>6</v>
      </c>
      <c r="F25" s="236">
        <f>E25+1</f>
        <v>7</v>
      </c>
      <c r="G25" s="236">
        <f t="shared" ref="G25:H25" si="0">F25+1</f>
        <v>8</v>
      </c>
      <c r="H25" s="236">
        <f t="shared" si="0"/>
        <v>9</v>
      </c>
      <c r="I25" s="236">
        <f t="shared" ref="I25:AV25" si="1">H25+1</f>
        <v>10</v>
      </c>
      <c r="J25" s="236">
        <f t="shared" si="1"/>
        <v>11</v>
      </c>
      <c r="K25" s="236">
        <f t="shared" si="1"/>
        <v>12</v>
      </c>
      <c r="L25" s="236">
        <f t="shared" si="1"/>
        <v>13</v>
      </c>
      <c r="M25" s="236">
        <f t="shared" si="1"/>
        <v>14</v>
      </c>
      <c r="N25" s="236">
        <f t="shared" si="1"/>
        <v>15</v>
      </c>
      <c r="O25" s="236">
        <f t="shared" si="1"/>
        <v>16</v>
      </c>
      <c r="P25" s="236">
        <f t="shared" si="1"/>
        <v>17</v>
      </c>
      <c r="Q25" s="236">
        <f t="shared" si="1"/>
        <v>18</v>
      </c>
      <c r="R25" s="236">
        <f t="shared" si="1"/>
        <v>19</v>
      </c>
      <c r="S25" s="236">
        <f t="shared" si="1"/>
        <v>20</v>
      </c>
      <c r="T25" s="236">
        <f t="shared" si="1"/>
        <v>21</v>
      </c>
      <c r="U25" s="236">
        <f t="shared" si="1"/>
        <v>22</v>
      </c>
      <c r="V25" s="236">
        <f t="shared" si="1"/>
        <v>23</v>
      </c>
      <c r="W25" s="236">
        <f t="shared" si="1"/>
        <v>24</v>
      </c>
      <c r="X25" s="236">
        <f t="shared" si="1"/>
        <v>25</v>
      </c>
      <c r="Y25" s="236">
        <f t="shared" si="1"/>
        <v>26</v>
      </c>
      <c r="Z25" s="236">
        <f t="shared" si="1"/>
        <v>27</v>
      </c>
      <c r="AA25" s="236">
        <f t="shared" si="1"/>
        <v>28</v>
      </c>
      <c r="AB25" s="236">
        <f t="shared" si="1"/>
        <v>29</v>
      </c>
      <c r="AC25" s="236">
        <f t="shared" si="1"/>
        <v>30</v>
      </c>
      <c r="AD25" s="236">
        <f t="shared" si="1"/>
        <v>31</v>
      </c>
      <c r="AE25" s="236">
        <f t="shared" si="1"/>
        <v>32</v>
      </c>
      <c r="AF25" s="236">
        <f t="shared" si="1"/>
        <v>33</v>
      </c>
      <c r="AG25" s="236">
        <f t="shared" si="1"/>
        <v>34</v>
      </c>
      <c r="AH25" s="236">
        <f t="shared" si="1"/>
        <v>35</v>
      </c>
      <c r="AI25" s="236">
        <f t="shared" si="1"/>
        <v>36</v>
      </c>
      <c r="AJ25" s="236">
        <f t="shared" si="1"/>
        <v>37</v>
      </c>
      <c r="AK25" s="236">
        <f t="shared" si="1"/>
        <v>38</v>
      </c>
      <c r="AL25" s="236">
        <f t="shared" si="1"/>
        <v>39</v>
      </c>
      <c r="AM25" s="236">
        <f t="shared" si="1"/>
        <v>40</v>
      </c>
      <c r="AN25" s="236">
        <f t="shared" si="1"/>
        <v>41</v>
      </c>
      <c r="AO25" s="236">
        <f t="shared" si="1"/>
        <v>42</v>
      </c>
      <c r="AP25" s="236">
        <f t="shared" si="1"/>
        <v>43</v>
      </c>
      <c r="AQ25" s="236">
        <f t="shared" si="1"/>
        <v>44</v>
      </c>
      <c r="AR25" s="236">
        <f t="shared" si="1"/>
        <v>45</v>
      </c>
      <c r="AS25" s="236">
        <f t="shared" si="1"/>
        <v>46</v>
      </c>
      <c r="AT25" s="236">
        <f t="shared" si="1"/>
        <v>47</v>
      </c>
      <c r="AU25" s="236">
        <f t="shared" si="1"/>
        <v>48</v>
      </c>
      <c r="AV25" s="236">
        <f t="shared" si="1"/>
        <v>49</v>
      </c>
    </row>
    <row r="26" spans="1:48" s="237" customFormat="1" ht="56.25" x14ac:dyDescent="0.2">
      <c r="A26" s="238">
        <v>1</v>
      </c>
      <c r="B26" s="239" t="s">
        <v>515</v>
      </c>
      <c r="C26" s="239" t="s">
        <v>18</v>
      </c>
      <c r="D26" s="240">
        <f>'6.1. Паспорт сетевой график'!F53</f>
        <v>45838</v>
      </c>
      <c r="E26" s="238"/>
      <c r="F26" s="238"/>
      <c r="G26" s="238"/>
      <c r="H26" s="238"/>
      <c r="I26" s="241">
        <f>'6.2. Паспорт фин осв ввод'!N39</f>
        <v>7.0629999999999997</v>
      </c>
      <c r="J26" s="238"/>
      <c r="K26" s="238"/>
      <c r="L26" s="238"/>
      <c r="M26" s="239" t="s">
        <v>516</v>
      </c>
      <c r="N26" s="239" t="s">
        <v>517</v>
      </c>
      <c r="O26" s="239" t="s">
        <v>518</v>
      </c>
      <c r="P26" s="242">
        <v>1742.13</v>
      </c>
      <c r="Q26" s="239" t="s">
        <v>519</v>
      </c>
      <c r="R26" s="242">
        <v>1654.7</v>
      </c>
      <c r="S26" s="239" t="s">
        <v>520</v>
      </c>
      <c r="T26" s="239" t="s">
        <v>521</v>
      </c>
      <c r="U26" s="238" t="s">
        <v>21</v>
      </c>
      <c r="V26" s="238" t="s">
        <v>21</v>
      </c>
      <c r="W26" s="239" t="s">
        <v>522</v>
      </c>
      <c r="X26" s="242">
        <v>1516.52</v>
      </c>
      <c r="Y26" s="239"/>
      <c r="Z26" s="243" t="s">
        <v>523</v>
      </c>
      <c r="AA26" s="242">
        <v>1516.52</v>
      </c>
      <c r="AB26" s="242">
        <v>1516.52</v>
      </c>
      <c r="AC26" s="242" t="s">
        <v>522</v>
      </c>
      <c r="AD26" s="242">
        <v>1516.52</v>
      </c>
      <c r="AE26" s="242">
        <v>0</v>
      </c>
      <c r="AF26" s="238" t="s">
        <v>524</v>
      </c>
      <c r="AG26" s="239" t="s">
        <v>525</v>
      </c>
      <c r="AH26" s="243">
        <v>43420</v>
      </c>
      <c r="AI26" s="243">
        <v>43420</v>
      </c>
      <c r="AJ26" s="243">
        <v>43437</v>
      </c>
      <c r="AK26" s="243">
        <v>43451</v>
      </c>
      <c r="AL26" s="239"/>
      <c r="AM26" s="239"/>
      <c r="AN26" s="243"/>
      <c r="AO26" s="239"/>
      <c r="AP26" s="243">
        <v>43504</v>
      </c>
      <c r="AQ26" s="243">
        <v>43504</v>
      </c>
      <c r="AR26" s="243">
        <v>43504</v>
      </c>
      <c r="AS26" s="243">
        <v>43504</v>
      </c>
      <c r="AT26" s="243">
        <f>AS26+35</f>
        <v>43539</v>
      </c>
      <c r="AU26" s="239"/>
      <c r="AV26" s="239" t="s">
        <v>526</v>
      </c>
    </row>
    <row r="27" spans="1:48" s="237" customFormat="1" ht="22.5" x14ac:dyDescent="0.2">
      <c r="A27" s="238"/>
      <c r="B27" s="239"/>
      <c r="C27" s="239"/>
      <c r="D27" s="240"/>
      <c r="E27" s="238"/>
      <c r="F27" s="238"/>
      <c r="G27" s="238"/>
      <c r="H27" s="238"/>
      <c r="I27" s="241"/>
      <c r="J27" s="238"/>
      <c r="K27" s="238"/>
      <c r="L27" s="238"/>
      <c r="M27" s="239"/>
      <c r="N27" s="239"/>
      <c r="O27" s="239"/>
      <c r="P27" s="242"/>
      <c r="Q27" s="239"/>
      <c r="R27" s="242"/>
      <c r="S27" s="239"/>
      <c r="T27" s="239"/>
      <c r="U27" s="238"/>
      <c r="V27" s="238"/>
      <c r="W27" s="239" t="s">
        <v>527</v>
      </c>
      <c r="X27" s="242">
        <v>1600</v>
      </c>
      <c r="Y27" s="239"/>
      <c r="Z27" s="243"/>
      <c r="AA27" s="242">
        <v>1600</v>
      </c>
      <c r="AB27" s="242"/>
      <c r="AC27" s="242"/>
      <c r="AD27" s="242"/>
      <c r="AE27" s="242"/>
      <c r="AF27" s="238"/>
      <c r="AG27" s="239"/>
      <c r="AH27" s="243"/>
      <c r="AI27" s="243"/>
      <c r="AJ27" s="243"/>
      <c r="AK27" s="243"/>
      <c r="AL27" s="239"/>
      <c r="AM27" s="239"/>
      <c r="AN27" s="243"/>
      <c r="AO27" s="239"/>
      <c r="AP27" s="243"/>
      <c r="AQ27" s="243"/>
      <c r="AR27" s="243"/>
      <c r="AS27" s="243"/>
      <c r="AT27" s="243"/>
      <c r="AU27" s="239"/>
      <c r="AV27" s="239"/>
    </row>
    <row r="28" spans="1:48" s="237" customFormat="1" ht="23.25" customHeight="1" x14ac:dyDescent="0.2">
      <c r="A28" s="238"/>
      <c r="B28" s="239"/>
      <c r="C28" s="239"/>
      <c r="D28" s="240"/>
      <c r="E28" s="238"/>
      <c r="F28" s="238"/>
      <c r="G28" s="238"/>
      <c r="H28" s="238"/>
      <c r="I28" s="241"/>
      <c r="J28" s="238"/>
      <c r="K28" s="238"/>
      <c r="L28" s="238"/>
      <c r="M28" s="239"/>
      <c r="N28" s="239"/>
      <c r="O28" s="239"/>
      <c r="P28" s="242"/>
      <c r="Q28" s="239"/>
      <c r="R28" s="242"/>
      <c r="S28" s="239"/>
      <c r="T28" s="239"/>
      <c r="U28" s="238"/>
      <c r="V28" s="238"/>
      <c r="W28" s="239" t="s">
        <v>528</v>
      </c>
      <c r="X28" s="242">
        <v>1257.57</v>
      </c>
      <c r="Y28" s="239"/>
      <c r="Z28" s="243"/>
      <c r="AA28" s="242">
        <v>1257.57</v>
      </c>
      <c r="AB28" s="242"/>
      <c r="AC28" s="242"/>
      <c r="AD28" s="242"/>
      <c r="AE28" s="242"/>
      <c r="AF28" s="238"/>
      <c r="AG28" s="239"/>
      <c r="AH28" s="243"/>
      <c r="AI28" s="243"/>
      <c r="AJ28" s="243"/>
      <c r="AK28" s="243"/>
      <c r="AL28" s="239"/>
      <c r="AM28" s="239"/>
      <c r="AN28" s="243"/>
      <c r="AO28" s="239"/>
      <c r="AP28" s="243"/>
      <c r="AQ28" s="243"/>
      <c r="AR28" s="243"/>
      <c r="AS28" s="243"/>
      <c r="AT28" s="243"/>
      <c r="AU28" s="239"/>
      <c r="AV28" s="239"/>
    </row>
    <row r="29" spans="1:48" s="237" customFormat="1" ht="56.25" x14ac:dyDescent="0.2">
      <c r="A29" s="238">
        <v>2</v>
      </c>
      <c r="B29" s="239" t="s">
        <v>515</v>
      </c>
      <c r="C29" s="239" t="s">
        <v>18</v>
      </c>
      <c r="D29" s="240">
        <f>D26</f>
        <v>45838</v>
      </c>
      <c r="E29" s="238"/>
      <c r="F29" s="238"/>
      <c r="G29" s="238"/>
      <c r="H29" s="238"/>
      <c r="I29" s="241">
        <f>I26</f>
        <v>7.0629999999999997</v>
      </c>
      <c r="J29" s="238"/>
      <c r="K29" s="238"/>
      <c r="L29" s="238"/>
      <c r="M29" s="239" t="s">
        <v>529</v>
      </c>
      <c r="N29" s="239" t="s">
        <v>530</v>
      </c>
      <c r="O29" s="239" t="s">
        <v>518</v>
      </c>
      <c r="P29" s="242" t="s">
        <v>531</v>
      </c>
      <c r="Q29" s="239" t="s">
        <v>532</v>
      </c>
      <c r="R29" s="242" t="s">
        <v>531</v>
      </c>
      <c r="S29" s="239" t="s">
        <v>520</v>
      </c>
      <c r="T29" s="239" t="s">
        <v>533</v>
      </c>
      <c r="U29" s="238" t="s">
        <v>534</v>
      </c>
      <c r="V29" s="238" t="s">
        <v>534</v>
      </c>
      <c r="W29" s="239"/>
      <c r="X29" s="242"/>
      <c r="Y29" s="239"/>
      <c r="Z29" s="243"/>
      <c r="AA29" s="242"/>
      <c r="AB29" s="242">
        <v>0</v>
      </c>
      <c r="AC29" s="242"/>
      <c r="AD29" s="242">
        <v>0</v>
      </c>
      <c r="AE29" s="242">
        <v>0</v>
      </c>
      <c r="AF29" s="238" t="s">
        <v>535</v>
      </c>
      <c r="AG29" s="239" t="s">
        <v>536</v>
      </c>
      <c r="AH29" s="243">
        <v>44371</v>
      </c>
      <c r="AI29" s="243">
        <v>44371</v>
      </c>
      <c r="AJ29" s="243" t="s">
        <v>537</v>
      </c>
      <c r="AK29" s="243" t="s">
        <v>538</v>
      </c>
      <c r="AL29" s="239"/>
      <c r="AM29" s="239"/>
      <c r="AN29" s="243"/>
      <c r="AO29" s="239"/>
      <c r="AP29" s="243"/>
      <c r="AQ29" s="243"/>
      <c r="AR29" s="243"/>
      <c r="AS29" s="243"/>
      <c r="AT29" s="243"/>
      <c r="AU29" s="239"/>
      <c r="AV29" s="239" t="s">
        <v>539</v>
      </c>
    </row>
    <row r="30" spans="1:48" s="235" customFormat="1" ht="22.5" x14ac:dyDescent="0.2">
      <c r="A30" s="244">
        <v>3</v>
      </c>
      <c r="B30" s="239" t="s">
        <v>540</v>
      </c>
      <c r="C30" s="245" t="s">
        <v>18</v>
      </c>
      <c r="D30" s="240">
        <f>D29</f>
        <v>45838</v>
      </c>
      <c r="E30" s="238"/>
      <c r="F30" s="238"/>
      <c r="G30" s="238"/>
      <c r="H30" s="238"/>
      <c r="I30" s="241">
        <f>I29</f>
        <v>7.0629999999999997</v>
      </c>
      <c r="J30" s="238"/>
      <c r="K30" s="246"/>
      <c r="L30" s="246"/>
      <c r="M30" s="239" t="s">
        <v>516</v>
      </c>
      <c r="N30" s="239" t="s">
        <v>541</v>
      </c>
      <c r="O30" s="239" t="s">
        <v>540</v>
      </c>
      <c r="P30" s="242">
        <v>105.42528</v>
      </c>
      <c r="Q30" s="239" t="s">
        <v>519</v>
      </c>
      <c r="R30" s="242">
        <v>105.42528</v>
      </c>
      <c r="S30" s="239" t="s">
        <v>520</v>
      </c>
      <c r="T30" s="239" t="s">
        <v>542</v>
      </c>
      <c r="U30" s="238"/>
      <c r="V30" s="238">
        <v>3</v>
      </c>
      <c r="W30" s="239" t="s">
        <v>522</v>
      </c>
      <c r="X30" s="242">
        <v>105</v>
      </c>
      <c r="Y30" s="239"/>
      <c r="Z30" s="243"/>
      <c r="AA30" s="242"/>
      <c r="AB30" s="242">
        <v>105</v>
      </c>
      <c r="AC30" s="239" t="s">
        <v>522</v>
      </c>
      <c r="AD30" s="242">
        <f>'8. Общие сведения'!B63*1000</f>
        <v>8.5330100000000009</v>
      </c>
      <c r="AE30" s="242">
        <f>AD30</f>
        <v>8.5330100000000009</v>
      </c>
      <c r="AF30" s="238"/>
      <c r="AG30" s="239"/>
      <c r="AH30" s="243">
        <v>44713</v>
      </c>
      <c r="AI30" s="243">
        <v>44713</v>
      </c>
      <c r="AJ30" s="243"/>
      <c r="AK30" s="243">
        <v>44714</v>
      </c>
      <c r="AL30" s="239"/>
      <c r="AM30" s="239"/>
      <c r="AN30" s="243"/>
      <c r="AO30" s="239"/>
      <c r="AP30" s="243">
        <v>44720</v>
      </c>
      <c r="AQ30" s="243">
        <v>44720</v>
      </c>
      <c r="AR30" s="243">
        <v>44720</v>
      </c>
      <c r="AS30" s="243">
        <v>44720</v>
      </c>
      <c r="AT30" s="243">
        <v>44722</v>
      </c>
      <c r="AU30" s="239"/>
      <c r="AV30" s="239" t="s">
        <v>526</v>
      </c>
    </row>
    <row r="31" spans="1:48" s="235" customFormat="1" ht="33.75" x14ac:dyDescent="0.2">
      <c r="A31" s="244"/>
      <c r="B31" s="247"/>
      <c r="C31" s="245"/>
      <c r="D31" s="248"/>
      <c r="E31" s="246"/>
      <c r="F31" s="246"/>
      <c r="G31" s="246"/>
      <c r="H31" s="246"/>
      <c r="I31" s="249"/>
      <c r="J31" s="246"/>
      <c r="K31" s="246"/>
      <c r="L31" s="246"/>
      <c r="M31" s="239"/>
      <c r="N31" s="239"/>
      <c r="O31" s="239"/>
      <c r="P31" s="242"/>
      <c r="Q31" s="239"/>
      <c r="R31" s="242"/>
      <c r="S31" s="239"/>
      <c r="T31" s="239"/>
      <c r="U31" s="238"/>
      <c r="V31" s="238"/>
      <c r="W31" s="239" t="s">
        <v>543</v>
      </c>
      <c r="X31" s="242">
        <v>105.425</v>
      </c>
      <c r="Y31" s="239"/>
      <c r="Z31" s="243"/>
      <c r="AA31" s="242"/>
      <c r="AB31" s="242"/>
      <c r="AC31" s="242"/>
      <c r="AD31" s="242"/>
      <c r="AE31" s="242"/>
      <c r="AF31" s="238"/>
      <c r="AG31" s="239"/>
      <c r="AH31" s="243"/>
      <c r="AI31" s="243"/>
      <c r="AJ31" s="243"/>
      <c r="AK31" s="243"/>
      <c r="AL31" s="239"/>
      <c r="AM31" s="239"/>
      <c r="AN31" s="243"/>
      <c r="AO31" s="239"/>
      <c r="AP31" s="243"/>
      <c r="AQ31" s="243"/>
      <c r="AR31" s="243"/>
      <c r="AS31" s="243"/>
      <c r="AT31" s="243"/>
      <c r="AU31" s="239"/>
      <c r="AV31" s="239"/>
    </row>
    <row r="32" spans="1:48" s="235" customFormat="1" ht="22.5" x14ac:dyDescent="0.2">
      <c r="A32" s="244"/>
      <c r="B32" s="247"/>
      <c r="C32" s="245"/>
      <c r="D32" s="248"/>
      <c r="E32" s="246"/>
      <c r="F32" s="246"/>
      <c r="G32" s="246"/>
      <c r="H32" s="246"/>
      <c r="I32" s="249"/>
      <c r="J32" s="246"/>
      <c r="K32" s="246"/>
      <c r="L32" s="246"/>
      <c r="M32" s="239"/>
      <c r="N32" s="239"/>
      <c r="O32" s="239"/>
      <c r="P32" s="242"/>
      <c r="Q32" s="239"/>
      <c r="R32" s="242"/>
      <c r="S32" s="239"/>
      <c r="T32" s="239"/>
      <c r="U32" s="238"/>
      <c r="V32" s="238"/>
      <c r="W32" s="239" t="s">
        <v>544</v>
      </c>
      <c r="X32" s="242">
        <v>105.425</v>
      </c>
      <c r="Y32" s="239"/>
      <c r="Z32" s="243"/>
      <c r="AA32" s="242"/>
      <c r="AB32" s="242"/>
      <c r="AC32" s="242"/>
      <c r="AD32" s="242"/>
      <c r="AE32" s="242"/>
      <c r="AF32" s="238"/>
      <c r="AG32" s="239"/>
      <c r="AH32" s="243"/>
      <c r="AI32" s="243"/>
      <c r="AJ32" s="243"/>
      <c r="AK32" s="243"/>
      <c r="AL32" s="239"/>
      <c r="AM32" s="239"/>
      <c r="AN32" s="243"/>
      <c r="AO32" s="239"/>
      <c r="AP32" s="243"/>
      <c r="AQ32" s="243"/>
      <c r="AR32" s="243"/>
      <c r="AS32" s="243"/>
      <c r="AT32" s="243"/>
      <c r="AU32" s="239"/>
      <c r="AV32" s="239"/>
    </row>
    <row r="33" spans="1:48" s="235" customFormat="1" ht="33.75" x14ac:dyDescent="0.2">
      <c r="A33" s="246">
        <v>4</v>
      </c>
      <c r="B33" s="239" t="s">
        <v>540</v>
      </c>
      <c r="C33" s="250" t="s">
        <v>18</v>
      </c>
      <c r="D33" s="251">
        <f>D30</f>
        <v>45838</v>
      </c>
      <c r="E33" s="246"/>
      <c r="F33" s="246"/>
      <c r="G33" s="246"/>
      <c r="H33" s="246"/>
      <c r="I33" s="252">
        <f>I30</f>
        <v>7.0629999999999997</v>
      </c>
      <c r="J33" s="246"/>
      <c r="K33" s="246"/>
      <c r="L33" s="246"/>
      <c r="M33" s="239" t="s">
        <v>529</v>
      </c>
      <c r="N33" s="239" t="s">
        <v>545</v>
      </c>
      <c r="O33" s="239" t="s">
        <v>540</v>
      </c>
      <c r="P33" s="242">
        <v>36300.796490000001</v>
      </c>
      <c r="Q33" s="239" t="s">
        <v>532</v>
      </c>
      <c r="R33" s="242">
        <v>36300.796490000001</v>
      </c>
      <c r="S33" s="239" t="s">
        <v>520</v>
      </c>
      <c r="T33" s="239" t="s">
        <v>533</v>
      </c>
      <c r="U33" s="238">
        <v>1</v>
      </c>
      <c r="V33" s="238">
        <v>1</v>
      </c>
      <c r="W33" s="239" t="s">
        <v>546</v>
      </c>
      <c r="X33" s="242">
        <v>36300.783860000003</v>
      </c>
      <c r="Y33" s="239"/>
      <c r="Z33" s="243"/>
      <c r="AA33" s="242"/>
      <c r="AB33" s="242">
        <v>36300.783860000003</v>
      </c>
      <c r="AC33" s="239" t="s">
        <v>546</v>
      </c>
      <c r="AD33" s="242">
        <f>'8. Общие сведения'!B33*1000</f>
        <v>16010.909309999999</v>
      </c>
      <c r="AE33" s="242">
        <f>AD33</f>
        <v>16010.909309999999</v>
      </c>
      <c r="AF33" s="238">
        <v>32211517683</v>
      </c>
      <c r="AG33" s="239" t="s">
        <v>547</v>
      </c>
      <c r="AH33" s="243">
        <v>44773</v>
      </c>
      <c r="AI33" s="243">
        <v>44742</v>
      </c>
      <c r="AJ33" s="243">
        <v>44760</v>
      </c>
      <c r="AK33" s="243">
        <v>44770</v>
      </c>
      <c r="AL33" s="239" t="s">
        <v>548</v>
      </c>
      <c r="AM33" s="239" t="s">
        <v>549</v>
      </c>
      <c r="AN33" s="243">
        <v>44770</v>
      </c>
      <c r="AO33" s="239" t="s">
        <v>550</v>
      </c>
      <c r="AP33" s="243">
        <v>44796</v>
      </c>
      <c r="AQ33" s="243">
        <v>44796</v>
      </c>
      <c r="AR33" s="243">
        <v>44796</v>
      </c>
      <c r="AS33" s="243">
        <v>44796</v>
      </c>
      <c r="AT33" s="243">
        <v>45107</v>
      </c>
      <c r="AU33" s="239"/>
      <c r="AV33" s="239" t="s">
        <v>551</v>
      </c>
    </row>
    <row r="34" spans="1:48" s="237" customFormat="1" ht="11.25" x14ac:dyDescent="0.2">
      <c r="A34" s="238"/>
      <c r="B34" s="239"/>
      <c r="C34" s="239"/>
      <c r="D34" s="240"/>
      <c r="E34" s="238"/>
      <c r="F34" s="238"/>
      <c r="G34" s="238"/>
      <c r="H34" s="238"/>
      <c r="I34" s="253"/>
      <c r="J34" s="238"/>
      <c r="K34" s="238"/>
      <c r="L34" s="238"/>
      <c r="M34" s="239"/>
      <c r="N34" s="239"/>
      <c r="O34" s="239"/>
      <c r="P34" s="242"/>
      <c r="Q34" s="239"/>
      <c r="R34" s="242"/>
      <c r="S34" s="239"/>
      <c r="T34" s="239"/>
      <c r="U34" s="238"/>
      <c r="V34" s="238"/>
      <c r="W34" s="239"/>
      <c r="X34" s="242"/>
      <c r="Y34" s="239"/>
      <c r="Z34" s="243"/>
      <c r="AA34" s="242"/>
      <c r="AB34" s="242"/>
      <c r="AC34" s="242"/>
      <c r="AD34" s="242"/>
      <c r="AE34" s="242"/>
      <c r="AF34" s="238"/>
      <c r="AG34" s="239"/>
      <c r="AH34" s="243"/>
      <c r="AI34" s="243"/>
      <c r="AJ34" s="243"/>
      <c r="AK34" s="243"/>
      <c r="AL34" s="239"/>
      <c r="AM34" s="239"/>
      <c r="AN34" s="243"/>
      <c r="AO34" s="239"/>
      <c r="AP34" s="243"/>
      <c r="AQ34" s="243"/>
      <c r="AR34" s="243"/>
      <c r="AS34" s="243"/>
      <c r="AT34" s="243"/>
      <c r="AU34" s="239"/>
      <c r="AV34" s="239"/>
    </row>
    <row r="35" spans="1:48" s="237" customFormat="1" ht="11.25" x14ac:dyDescent="0.2">
      <c r="A35" s="238"/>
      <c r="B35" s="239"/>
      <c r="C35" s="239"/>
      <c r="D35" s="240"/>
      <c r="E35" s="238"/>
      <c r="F35" s="238"/>
      <c r="G35" s="238"/>
      <c r="H35" s="238"/>
      <c r="I35" s="253"/>
      <c r="J35" s="238"/>
      <c r="K35" s="238"/>
      <c r="L35" s="238"/>
      <c r="M35" s="239"/>
      <c r="N35" s="239"/>
      <c r="O35" s="239"/>
      <c r="P35" s="242"/>
      <c r="Q35" s="239"/>
      <c r="R35" s="242"/>
      <c r="S35" s="239"/>
      <c r="T35" s="239"/>
      <c r="U35" s="238"/>
      <c r="V35" s="238"/>
      <c r="W35" s="239"/>
      <c r="X35" s="242"/>
      <c r="Y35" s="239"/>
      <c r="Z35" s="243"/>
      <c r="AA35" s="242"/>
      <c r="AB35" s="242"/>
      <c r="AC35" s="242"/>
      <c r="AD35" s="242"/>
      <c r="AE35" s="242"/>
      <c r="AF35" s="238"/>
      <c r="AG35" s="239"/>
      <c r="AH35" s="243"/>
      <c r="AI35" s="243"/>
      <c r="AJ35" s="243"/>
      <c r="AK35" s="243"/>
      <c r="AL35" s="239"/>
      <c r="AM35" s="239"/>
      <c r="AN35" s="243"/>
      <c r="AO35" s="239"/>
      <c r="AP35" s="243"/>
      <c r="AQ35" s="243"/>
      <c r="AR35" s="243"/>
      <c r="AS35" s="243"/>
      <c r="AT35" s="243"/>
      <c r="AU35" s="239"/>
      <c r="AV35" s="239"/>
    </row>
    <row r="36" spans="1:48" s="237" customFormat="1" ht="11.25" x14ac:dyDescent="0.2">
      <c r="A36" s="238"/>
      <c r="B36" s="239"/>
      <c r="C36" s="239"/>
      <c r="D36" s="240"/>
      <c r="E36" s="238"/>
      <c r="F36" s="238"/>
      <c r="G36" s="238"/>
      <c r="H36" s="238"/>
      <c r="I36" s="253"/>
      <c r="J36" s="238"/>
      <c r="K36" s="238"/>
      <c r="L36" s="238"/>
      <c r="M36" s="239"/>
      <c r="N36" s="239"/>
      <c r="O36" s="239"/>
      <c r="P36" s="242"/>
      <c r="Q36" s="239"/>
      <c r="R36" s="242"/>
      <c r="S36" s="239"/>
      <c r="T36" s="239"/>
      <c r="U36" s="238"/>
      <c r="V36" s="238"/>
      <c r="W36" s="239"/>
      <c r="X36" s="242"/>
      <c r="Y36" s="239"/>
      <c r="Z36" s="243"/>
      <c r="AA36" s="242"/>
      <c r="AB36" s="242"/>
      <c r="AC36" s="242"/>
      <c r="AD36" s="242"/>
      <c r="AE36" s="242"/>
      <c r="AF36" s="238"/>
      <c r="AG36" s="239"/>
      <c r="AH36" s="243"/>
      <c r="AI36" s="243"/>
      <c r="AJ36" s="243"/>
      <c r="AK36" s="243"/>
      <c r="AL36" s="239"/>
      <c r="AM36" s="239"/>
      <c r="AN36" s="243"/>
      <c r="AO36" s="239"/>
      <c r="AP36" s="243"/>
      <c r="AQ36" s="243"/>
      <c r="AR36" s="243"/>
      <c r="AS36" s="243"/>
      <c r="AT36" s="243"/>
      <c r="AU36" s="239"/>
      <c r="AV36" s="239"/>
    </row>
    <row r="37" spans="1:48" s="254" customFormat="1" ht="10.5" x14ac:dyDescent="0.15">
      <c r="A37" s="255"/>
      <c r="B37" s="256" t="s">
        <v>552</v>
      </c>
      <c r="C37" s="256"/>
      <c r="D37" s="257"/>
      <c r="E37" s="255"/>
      <c r="F37" s="255"/>
      <c r="G37" s="255"/>
      <c r="H37" s="255"/>
      <c r="I37" s="258"/>
      <c r="J37" s="255"/>
      <c r="K37" s="255"/>
      <c r="L37" s="255"/>
      <c r="M37" s="256"/>
      <c r="N37" s="256"/>
      <c r="O37" s="256"/>
      <c r="P37" s="259"/>
      <c r="Q37" s="256"/>
      <c r="R37" s="259"/>
      <c r="S37" s="256"/>
      <c r="T37" s="256"/>
      <c r="U37" s="255"/>
      <c r="V37" s="255"/>
      <c r="W37" s="256"/>
      <c r="X37" s="259"/>
      <c r="Y37" s="256"/>
      <c r="Z37" s="260"/>
      <c r="AA37" s="259"/>
      <c r="AB37" s="259"/>
      <c r="AC37" s="259"/>
      <c r="AD37" s="259">
        <f>SUM(AD26:AD36)</f>
        <v>17535.962319999999</v>
      </c>
      <c r="AE37" s="259"/>
      <c r="AF37" s="255"/>
      <c r="AG37" s="256"/>
      <c r="AH37" s="260"/>
      <c r="AI37" s="260"/>
      <c r="AJ37" s="260"/>
      <c r="AK37" s="260"/>
      <c r="AL37" s="256"/>
      <c r="AM37" s="256"/>
      <c r="AN37" s="260"/>
      <c r="AO37" s="256"/>
      <c r="AP37" s="260"/>
      <c r="AQ37" s="260"/>
      <c r="AR37" s="260"/>
      <c r="AS37" s="260"/>
      <c r="AT37" s="260"/>
      <c r="AU37" s="256"/>
      <c r="AV37" s="256"/>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9" zoomScale="90" workbookViewId="0">
      <selection activeCell="A28" sqref="A28"/>
    </sheetView>
  </sheetViews>
  <sheetFormatPr defaultRowHeight="15.75" x14ac:dyDescent="0.25"/>
  <cols>
    <col min="1" max="2" width="66.140625" style="261" customWidth="1"/>
    <col min="3" max="4" width="9.140625" style="190" hidden="1" customWidth="1"/>
    <col min="5" max="5" width="8.85546875" style="190"/>
    <col min="6" max="6" width="10.7109375" style="190" bestFit="1" customWidth="1"/>
    <col min="7" max="256" width="8.85546875" style="190"/>
    <col min="257" max="258" width="66.140625" style="190" customWidth="1"/>
    <col min="259" max="512" width="8.85546875" style="190"/>
    <col min="513" max="514" width="66.140625" style="190" customWidth="1"/>
    <col min="515" max="768" width="8.85546875" style="190"/>
    <col min="769" max="770" width="66.140625" style="190" customWidth="1"/>
    <col min="771" max="1024" width="8.85546875" style="190"/>
    <col min="1025" max="1026" width="66.140625" style="190" customWidth="1"/>
    <col min="1027" max="1280" width="8.85546875" style="190"/>
    <col min="1281" max="1282" width="66.140625" style="190" customWidth="1"/>
    <col min="1283" max="1536" width="8.85546875" style="190"/>
    <col min="1537" max="1538" width="66.140625" style="190" customWidth="1"/>
    <col min="1539" max="1792" width="8.85546875" style="190"/>
    <col min="1793" max="1794" width="66.140625" style="190" customWidth="1"/>
    <col min="1795" max="2048" width="8.85546875" style="190"/>
    <col min="2049" max="2050" width="66.140625" style="190" customWidth="1"/>
    <col min="2051" max="2304" width="8.85546875" style="190"/>
    <col min="2305" max="2306" width="66.140625" style="190" customWidth="1"/>
    <col min="2307" max="2560" width="8.85546875" style="190"/>
    <col min="2561" max="2562" width="66.140625" style="190" customWidth="1"/>
    <col min="2563" max="2816" width="8.85546875" style="190"/>
    <col min="2817" max="2818" width="66.140625" style="190" customWidth="1"/>
    <col min="2819" max="3072" width="8.85546875" style="190"/>
    <col min="3073" max="3074" width="66.140625" style="190" customWidth="1"/>
    <col min="3075" max="3328" width="8.85546875" style="190"/>
    <col min="3329" max="3330" width="66.140625" style="190" customWidth="1"/>
    <col min="3331" max="3584" width="8.85546875" style="190"/>
    <col min="3585" max="3586" width="66.140625" style="190" customWidth="1"/>
    <col min="3587" max="3840" width="8.85546875" style="190"/>
    <col min="3841" max="3842" width="66.140625" style="190" customWidth="1"/>
    <col min="3843" max="4096" width="8.85546875" style="190"/>
    <col min="4097" max="4098" width="66.140625" style="190" customWidth="1"/>
    <col min="4099" max="4352" width="8.85546875" style="190"/>
    <col min="4353" max="4354" width="66.140625" style="190" customWidth="1"/>
    <col min="4355" max="4608" width="8.85546875" style="190"/>
    <col min="4609" max="4610" width="66.140625" style="190" customWidth="1"/>
    <col min="4611" max="4864" width="8.85546875" style="190"/>
    <col min="4865" max="4866" width="66.140625" style="190" customWidth="1"/>
    <col min="4867" max="5120" width="8.85546875" style="190"/>
    <col min="5121" max="5122" width="66.140625" style="190" customWidth="1"/>
    <col min="5123" max="5376" width="8.85546875" style="190"/>
    <col min="5377" max="5378" width="66.140625" style="190" customWidth="1"/>
    <col min="5379" max="5632" width="8.85546875" style="190"/>
    <col min="5633" max="5634" width="66.140625" style="190" customWidth="1"/>
    <col min="5635" max="5888" width="8.85546875" style="190"/>
    <col min="5889" max="5890" width="66.140625" style="190" customWidth="1"/>
    <col min="5891" max="6144" width="8.85546875" style="190"/>
    <col min="6145" max="6146" width="66.140625" style="190" customWidth="1"/>
    <col min="6147" max="6400" width="8.85546875" style="190"/>
    <col min="6401" max="6402" width="66.140625" style="190" customWidth="1"/>
    <col min="6403" max="6656" width="8.85546875" style="190"/>
    <col min="6657" max="6658" width="66.140625" style="190" customWidth="1"/>
    <col min="6659" max="6912" width="8.85546875" style="190"/>
    <col min="6913" max="6914" width="66.140625" style="190" customWidth="1"/>
    <col min="6915" max="7168" width="8.85546875" style="190"/>
    <col min="7169" max="7170" width="66.140625" style="190" customWidth="1"/>
    <col min="7171" max="7424" width="8.85546875" style="190"/>
    <col min="7425" max="7426" width="66.140625" style="190" customWidth="1"/>
    <col min="7427" max="7680" width="8.85546875" style="190"/>
    <col min="7681" max="7682" width="66.140625" style="190" customWidth="1"/>
    <col min="7683" max="7936" width="8.85546875" style="190"/>
    <col min="7937" max="7938" width="66.140625" style="190" customWidth="1"/>
    <col min="7939" max="8192" width="8.85546875" style="190"/>
    <col min="8193" max="8194" width="66.140625" style="190" customWidth="1"/>
    <col min="8195" max="8448" width="8.85546875" style="190"/>
    <col min="8449" max="8450" width="66.140625" style="190" customWidth="1"/>
    <col min="8451" max="8704" width="8.85546875" style="190"/>
    <col min="8705" max="8706" width="66.140625" style="190" customWidth="1"/>
    <col min="8707" max="8960" width="8.85546875" style="190"/>
    <col min="8961" max="8962" width="66.140625" style="190" customWidth="1"/>
    <col min="8963" max="9216" width="8.85546875" style="190"/>
    <col min="9217" max="9218" width="66.140625" style="190" customWidth="1"/>
    <col min="9219" max="9472" width="8.85546875" style="190"/>
    <col min="9473" max="9474" width="66.140625" style="190" customWidth="1"/>
    <col min="9475" max="9728" width="8.85546875" style="190"/>
    <col min="9729" max="9730" width="66.140625" style="190" customWidth="1"/>
    <col min="9731" max="9984" width="8.85546875" style="190"/>
    <col min="9985" max="9986" width="66.140625" style="190" customWidth="1"/>
    <col min="9987" max="10240" width="8.85546875" style="190"/>
    <col min="10241" max="10242" width="66.140625" style="190" customWidth="1"/>
    <col min="10243" max="10496" width="8.85546875" style="190"/>
    <col min="10497" max="10498" width="66.140625" style="190" customWidth="1"/>
    <col min="10499" max="10752" width="8.85546875" style="190"/>
    <col min="10753" max="10754" width="66.140625" style="190" customWidth="1"/>
    <col min="10755" max="11008" width="8.85546875" style="190"/>
    <col min="11009" max="11010" width="66.140625" style="190" customWidth="1"/>
    <col min="11011" max="11264" width="8.85546875" style="190"/>
    <col min="11265" max="11266" width="66.140625" style="190" customWidth="1"/>
    <col min="11267" max="11520" width="8.85546875" style="190"/>
    <col min="11521" max="11522" width="66.140625" style="190" customWidth="1"/>
    <col min="11523" max="11776" width="8.85546875" style="190"/>
    <col min="11777" max="11778" width="66.140625" style="190" customWidth="1"/>
    <col min="11779" max="12032" width="8.85546875" style="190"/>
    <col min="12033" max="12034" width="66.140625" style="190" customWidth="1"/>
    <col min="12035" max="12288" width="8.85546875" style="190"/>
    <col min="12289" max="12290" width="66.140625" style="190" customWidth="1"/>
    <col min="12291" max="12544" width="8.85546875" style="190"/>
    <col min="12545" max="12546" width="66.140625" style="190" customWidth="1"/>
    <col min="12547" max="12800" width="8.85546875" style="190"/>
    <col min="12801" max="12802" width="66.140625" style="190" customWidth="1"/>
    <col min="12803" max="13056" width="8.85546875" style="190"/>
    <col min="13057" max="13058" width="66.140625" style="190" customWidth="1"/>
    <col min="13059" max="13312" width="8.85546875" style="190"/>
    <col min="13313" max="13314" width="66.140625" style="190" customWidth="1"/>
    <col min="13315" max="13568" width="8.85546875" style="190"/>
    <col min="13569" max="13570" width="66.140625" style="190" customWidth="1"/>
    <col min="13571" max="13824" width="8.85546875" style="190"/>
    <col min="13825" max="13826" width="66.140625" style="190" customWidth="1"/>
    <col min="13827" max="14080" width="8.85546875" style="190"/>
    <col min="14081" max="14082" width="66.140625" style="190" customWidth="1"/>
    <col min="14083" max="14336" width="8.85546875" style="190"/>
    <col min="14337" max="14338" width="66.140625" style="190" customWidth="1"/>
    <col min="14339" max="14592" width="8.85546875" style="190"/>
    <col min="14593" max="14594" width="66.140625" style="190" customWidth="1"/>
    <col min="14595" max="14848" width="8.85546875" style="190"/>
    <col min="14849" max="14850" width="66.140625" style="190" customWidth="1"/>
    <col min="14851" max="15104" width="8.85546875" style="190"/>
    <col min="15105" max="15106" width="66.140625" style="190" customWidth="1"/>
    <col min="15107" max="15360" width="8.85546875" style="190"/>
    <col min="15361" max="15362" width="66.140625" style="190" customWidth="1"/>
    <col min="15363" max="15616" width="8.85546875" style="190"/>
    <col min="15617" max="15618" width="66.140625" style="190" customWidth="1"/>
    <col min="15619" max="15872" width="8.85546875" style="190"/>
    <col min="15873" max="15874" width="66.140625" style="190" customWidth="1"/>
    <col min="15875" max="16128" width="8.85546875" style="190"/>
    <col min="16129" max="16130" width="66.140625" style="190" customWidth="1"/>
    <col min="16131" max="16384" width="8.85546875" style="190"/>
  </cols>
  <sheetData>
    <row r="1" spans="1:8" ht="18.75" x14ac:dyDescent="0.25">
      <c r="B1" s="4" t="s">
        <v>0</v>
      </c>
    </row>
    <row r="2" spans="1:8" ht="18.75" x14ac:dyDescent="0.3">
      <c r="B2" s="5" t="s">
        <v>1</v>
      </c>
    </row>
    <row r="3" spans="1:8" ht="18.75" x14ac:dyDescent="0.3">
      <c r="B3" s="5" t="s">
        <v>553</v>
      </c>
    </row>
    <row r="4" spans="1:8" x14ac:dyDescent="0.25">
      <c r="B4" s="192"/>
    </row>
    <row r="5" spans="1:8" ht="18.75" x14ac:dyDescent="0.3">
      <c r="A5" s="418" t="str">
        <f>'1. паспорт местоположение'!A5:C5</f>
        <v>Год раскрытия информации: 2025 год</v>
      </c>
      <c r="B5" s="418"/>
      <c r="C5" s="263"/>
      <c r="D5" s="263"/>
      <c r="E5" s="263"/>
      <c r="F5" s="263"/>
      <c r="G5" s="263"/>
      <c r="H5" s="263"/>
    </row>
    <row r="6" spans="1:8" ht="18.75" x14ac:dyDescent="0.3">
      <c r="A6" s="262"/>
      <c r="B6" s="262"/>
      <c r="C6" s="262"/>
      <c r="D6" s="262"/>
      <c r="E6" s="262"/>
      <c r="F6" s="262"/>
      <c r="G6" s="262"/>
      <c r="H6" s="262"/>
    </row>
    <row r="7" spans="1:8" ht="18.75" x14ac:dyDescent="0.25">
      <c r="A7" s="310" t="s">
        <v>4</v>
      </c>
      <c r="B7" s="310"/>
      <c r="C7" s="10"/>
      <c r="D7" s="10"/>
      <c r="E7" s="10"/>
      <c r="F7" s="10"/>
      <c r="G7" s="10"/>
      <c r="H7" s="10"/>
    </row>
    <row r="8" spans="1:8" ht="18.75" x14ac:dyDescent="0.25">
      <c r="A8" s="10"/>
      <c r="B8" s="10"/>
      <c r="C8" s="10"/>
      <c r="D8" s="10"/>
      <c r="E8" s="10"/>
      <c r="F8" s="10"/>
      <c r="G8" s="10"/>
      <c r="H8" s="10"/>
    </row>
    <row r="9" spans="1:8" x14ac:dyDescent="0.25">
      <c r="A9" s="322" t="str">
        <f>'1. паспорт местоположение'!A9:C9</f>
        <v>Акционерное общество "Россети Янтарь" ДЗО  ПАО "Россети"</v>
      </c>
      <c r="B9" s="322"/>
      <c r="C9" s="11"/>
      <c r="D9" s="11"/>
      <c r="E9" s="11"/>
      <c r="F9" s="11"/>
      <c r="G9" s="11"/>
      <c r="H9" s="11"/>
    </row>
    <row r="10" spans="1:8" x14ac:dyDescent="0.25">
      <c r="A10" s="312" t="s">
        <v>6</v>
      </c>
      <c r="B10" s="312"/>
      <c r="C10" s="12"/>
      <c r="D10" s="12"/>
      <c r="E10" s="12"/>
      <c r="F10" s="12"/>
      <c r="G10" s="12"/>
      <c r="H10" s="12"/>
    </row>
    <row r="11" spans="1:8" ht="18.75" x14ac:dyDescent="0.25">
      <c r="A11" s="10"/>
      <c r="B11" s="10"/>
      <c r="C11" s="10"/>
      <c r="D11" s="10"/>
      <c r="E11" s="10"/>
      <c r="F11" s="10"/>
      <c r="G11" s="10"/>
      <c r="H11" s="10"/>
    </row>
    <row r="12" spans="1:8" x14ac:dyDescent="0.25">
      <c r="A12" s="419" t="str">
        <f>'1. паспорт местоположение'!A12:C12</f>
        <v>H_16-0403</v>
      </c>
      <c r="B12" s="419"/>
      <c r="C12" s="11"/>
      <c r="D12" s="11"/>
      <c r="E12" s="11"/>
      <c r="F12" s="11"/>
      <c r="G12" s="11"/>
      <c r="H12" s="11"/>
    </row>
    <row r="13" spans="1:8" x14ac:dyDescent="0.25">
      <c r="A13" s="312" t="s">
        <v>8</v>
      </c>
      <c r="B13" s="312"/>
      <c r="C13" s="12"/>
      <c r="D13" s="12"/>
      <c r="E13" s="12"/>
      <c r="F13" s="12"/>
      <c r="G13" s="12"/>
      <c r="H13" s="12"/>
    </row>
    <row r="14" spans="1:8" ht="18.75" x14ac:dyDescent="0.25">
      <c r="A14" s="61"/>
      <c r="B14" s="61"/>
      <c r="C14" s="61"/>
      <c r="D14" s="61"/>
      <c r="E14" s="61"/>
      <c r="F14" s="61"/>
      <c r="G14" s="61"/>
      <c r="H14" s="61"/>
    </row>
    <row r="15" spans="1:8" ht="30.75" customHeight="1" x14ac:dyDescent="0.25">
      <c r="A15" s="420" t="str">
        <f>'1. паспорт местоположение'!A15:C15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21"/>
      <c r="C15" s="11"/>
      <c r="D15" s="11"/>
      <c r="E15" s="11"/>
      <c r="F15" s="11"/>
      <c r="G15" s="11"/>
      <c r="H15" s="11"/>
    </row>
    <row r="16" spans="1:8" x14ac:dyDescent="0.25">
      <c r="A16" s="312" t="s">
        <v>10</v>
      </c>
      <c r="B16" s="312"/>
      <c r="C16" s="12"/>
      <c r="D16" s="12"/>
      <c r="E16" s="12"/>
      <c r="F16" s="12"/>
      <c r="G16" s="12"/>
      <c r="H16" s="12"/>
    </row>
    <row r="17" spans="1:2" x14ac:dyDescent="0.25">
      <c r="B17" s="264"/>
    </row>
    <row r="18" spans="1:2" x14ac:dyDescent="0.25">
      <c r="A18" s="422" t="s">
        <v>554</v>
      </c>
      <c r="B18" s="423"/>
    </row>
    <row r="19" spans="1:2" x14ac:dyDescent="0.25">
      <c r="B19" s="192"/>
    </row>
    <row r="20" spans="1:2" x14ac:dyDescent="0.25">
      <c r="B20" s="265"/>
    </row>
    <row r="21" spans="1:2" ht="60" x14ac:dyDescent="0.25">
      <c r="A21" s="266" t="s">
        <v>555</v>
      </c>
      <c r="B21" s="267" t="str">
        <f>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row>
    <row r="22" spans="1:2" x14ac:dyDescent="0.25">
      <c r="A22" s="266" t="s">
        <v>556</v>
      </c>
      <c r="B22" s="267" t="str">
        <f>CONCATENATE('1. паспорт местоположение'!C26,", ",'1. паспорт местоположение'!C27)</f>
        <v>Калининградская область, Зеленоградский городской округ</v>
      </c>
    </row>
    <row r="23" spans="1:2" x14ac:dyDescent="0.25">
      <c r="A23" s="266" t="s">
        <v>557</v>
      </c>
      <c r="B23" s="268" t="s">
        <v>558</v>
      </c>
    </row>
    <row r="24" spans="1:2" x14ac:dyDescent="0.25">
      <c r="A24" s="266" t="s">
        <v>559</v>
      </c>
      <c r="B24" s="268" t="s">
        <v>560</v>
      </c>
    </row>
    <row r="25" spans="1:2" x14ac:dyDescent="0.25">
      <c r="A25" s="269" t="s">
        <v>561</v>
      </c>
      <c r="B25" s="267">
        <v>2025</v>
      </c>
    </row>
    <row r="26" spans="1:2" x14ac:dyDescent="0.25">
      <c r="A26" s="270" t="s">
        <v>562</v>
      </c>
      <c r="B26" s="271" t="s">
        <v>165</v>
      </c>
    </row>
    <row r="27" spans="1:2" ht="28.5" x14ac:dyDescent="0.25">
      <c r="A27" s="272" t="s">
        <v>563</v>
      </c>
      <c r="B27" s="273">
        <f>'6.2. Паспорт фин осв ввод'!AE24</f>
        <v>18.575432799999998</v>
      </c>
    </row>
    <row r="28" spans="1:2" x14ac:dyDescent="0.25">
      <c r="A28" s="274" t="s">
        <v>564</v>
      </c>
      <c r="B28" s="275" t="s">
        <v>565</v>
      </c>
    </row>
    <row r="29" spans="1:2" ht="28.5" x14ac:dyDescent="0.25">
      <c r="A29" s="276" t="s">
        <v>566</v>
      </c>
      <c r="B29" s="277">
        <f>'7. Паспорт отчет о закупке'!AD37/1000</f>
        <v>17.535962319999999</v>
      </c>
    </row>
    <row r="30" spans="1:2" ht="28.5" x14ac:dyDescent="0.25">
      <c r="A30" s="276" t="s">
        <v>567</v>
      </c>
      <c r="B30" s="277">
        <f>B32+B41+B58</f>
        <v>17.535957319999998</v>
      </c>
    </row>
    <row r="31" spans="1:2" x14ac:dyDescent="0.25">
      <c r="A31" s="274" t="s">
        <v>568</v>
      </c>
      <c r="B31" s="277"/>
    </row>
    <row r="32" spans="1:2" ht="28.5" x14ac:dyDescent="0.25">
      <c r="A32" s="276" t="s">
        <v>569</v>
      </c>
      <c r="B32" s="277">
        <f>B33+B37</f>
        <v>16.010909309999999</v>
      </c>
    </row>
    <row r="33" spans="1:3" s="278" customFormat="1" ht="45" x14ac:dyDescent="0.25">
      <c r="A33" s="279" t="s">
        <v>570</v>
      </c>
      <c r="B33" s="280">
        <f>16.99116191*0+B36</f>
        <v>16.010909309999999</v>
      </c>
    </row>
    <row r="34" spans="1:3" x14ac:dyDescent="0.25">
      <c r="A34" s="274" t="s">
        <v>571</v>
      </c>
      <c r="B34" s="281">
        <f>B33/$B$27</f>
        <v>0.86194004104173549</v>
      </c>
    </row>
    <row r="35" spans="1:3" x14ac:dyDescent="0.25">
      <c r="A35" s="274" t="s">
        <v>572</v>
      </c>
      <c r="B35" s="277">
        <f t="shared" ref="B35:B36" si="0">9.6630031+6.34790621</f>
        <v>16.010909309999999</v>
      </c>
      <c r="C35" s="190">
        <v>1</v>
      </c>
    </row>
    <row r="36" spans="1:3" x14ac:dyDescent="0.25">
      <c r="A36" s="274" t="s">
        <v>573</v>
      </c>
      <c r="B36" s="277">
        <f t="shared" si="0"/>
        <v>16.010909309999999</v>
      </c>
      <c r="C36" s="190">
        <v>2</v>
      </c>
    </row>
    <row r="37" spans="1:3" s="278" customFormat="1" ht="30" x14ac:dyDescent="0.25">
      <c r="A37" s="282" t="s">
        <v>574</v>
      </c>
      <c r="B37" s="283">
        <v>0</v>
      </c>
    </row>
    <row r="38" spans="1:3" x14ac:dyDescent="0.25">
      <c r="A38" s="274" t="s">
        <v>571</v>
      </c>
      <c r="B38" s="281">
        <f>B37/$B$27</f>
        <v>0</v>
      </c>
    </row>
    <row r="39" spans="1:3" x14ac:dyDescent="0.25">
      <c r="A39" s="274" t="s">
        <v>572</v>
      </c>
      <c r="B39" s="277">
        <v>0</v>
      </c>
      <c r="C39" s="190">
        <v>1</v>
      </c>
    </row>
    <row r="40" spans="1:3" x14ac:dyDescent="0.25">
      <c r="A40" s="274" t="s">
        <v>573</v>
      </c>
      <c r="B40" s="277">
        <v>0</v>
      </c>
      <c r="C40" s="190">
        <v>2</v>
      </c>
    </row>
    <row r="41" spans="1:3" ht="28.5" x14ac:dyDescent="0.25">
      <c r="A41" s="276" t="s">
        <v>575</v>
      </c>
      <c r="B41" s="277">
        <f>B42+B46+B50+B54</f>
        <v>0</v>
      </c>
    </row>
    <row r="42" spans="1:3" s="278" customFormat="1" ht="30" x14ac:dyDescent="0.25">
      <c r="A42" s="282" t="s">
        <v>574</v>
      </c>
      <c r="B42" s="283">
        <v>0</v>
      </c>
    </row>
    <row r="43" spans="1:3" x14ac:dyDescent="0.25">
      <c r="A43" s="274" t="s">
        <v>571</v>
      </c>
      <c r="B43" s="281">
        <f>B42/$B$27</f>
        <v>0</v>
      </c>
    </row>
    <row r="44" spans="1:3" x14ac:dyDescent="0.25">
      <c r="A44" s="274" t="s">
        <v>572</v>
      </c>
      <c r="B44" s="277">
        <v>0</v>
      </c>
      <c r="C44" s="190">
        <v>1</v>
      </c>
    </row>
    <row r="45" spans="1:3" x14ac:dyDescent="0.25">
      <c r="A45" s="274" t="s">
        <v>573</v>
      </c>
      <c r="B45" s="277">
        <v>0</v>
      </c>
      <c r="C45" s="190">
        <v>2</v>
      </c>
    </row>
    <row r="46" spans="1:3" s="278" customFormat="1" ht="30" x14ac:dyDescent="0.25">
      <c r="A46" s="282" t="s">
        <v>574</v>
      </c>
      <c r="B46" s="283">
        <v>0</v>
      </c>
    </row>
    <row r="47" spans="1:3" x14ac:dyDescent="0.25">
      <c r="A47" s="274" t="s">
        <v>571</v>
      </c>
      <c r="B47" s="281">
        <f>B46/$B$27</f>
        <v>0</v>
      </c>
    </row>
    <row r="48" spans="1:3" x14ac:dyDescent="0.25">
      <c r="A48" s="274" t="s">
        <v>572</v>
      </c>
      <c r="B48" s="277">
        <v>0</v>
      </c>
      <c r="C48" s="190">
        <v>1</v>
      </c>
    </row>
    <row r="49" spans="1:3" x14ac:dyDescent="0.25">
      <c r="A49" s="274" t="s">
        <v>573</v>
      </c>
      <c r="B49" s="277">
        <v>0</v>
      </c>
      <c r="C49" s="190">
        <v>2</v>
      </c>
    </row>
    <row r="50" spans="1:3" s="278" customFormat="1" ht="30" x14ac:dyDescent="0.25">
      <c r="A50" s="282" t="s">
        <v>574</v>
      </c>
      <c r="B50" s="283">
        <v>0</v>
      </c>
    </row>
    <row r="51" spans="1:3" x14ac:dyDescent="0.25">
      <c r="A51" s="274" t="s">
        <v>571</v>
      </c>
      <c r="B51" s="281">
        <f>B50/$B$27</f>
        <v>0</v>
      </c>
    </row>
    <row r="52" spans="1:3" x14ac:dyDescent="0.25">
      <c r="A52" s="274" t="s">
        <v>572</v>
      </c>
      <c r="B52" s="277">
        <v>0</v>
      </c>
      <c r="C52" s="190">
        <v>1</v>
      </c>
    </row>
    <row r="53" spans="1:3" x14ac:dyDescent="0.25">
      <c r="A53" s="274" t="s">
        <v>573</v>
      </c>
      <c r="B53" s="277">
        <v>0</v>
      </c>
      <c r="C53" s="190">
        <v>2</v>
      </c>
    </row>
    <row r="54" spans="1:3" s="278" customFormat="1" ht="30" x14ac:dyDescent="0.25">
      <c r="A54" s="282" t="s">
        <v>574</v>
      </c>
      <c r="B54" s="283">
        <v>0</v>
      </c>
    </row>
    <row r="55" spans="1:3" x14ac:dyDescent="0.25">
      <c r="A55" s="274" t="s">
        <v>571</v>
      </c>
      <c r="B55" s="281">
        <f>B54/$B$27</f>
        <v>0</v>
      </c>
    </row>
    <row r="56" spans="1:3" x14ac:dyDescent="0.25">
      <c r="A56" s="274" t="s">
        <v>572</v>
      </c>
      <c r="B56" s="277">
        <v>0</v>
      </c>
      <c r="C56" s="190">
        <v>1</v>
      </c>
    </row>
    <row r="57" spans="1:3" x14ac:dyDescent="0.25">
      <c r="A57" s="274" t="s">
        <v>573</v>
      </c>
      <c r="B57" s="277">
        <v>0</v>
      </c>
      <c r="C57" s="190">
        <v>2</v>
      </c>
    </row>
    <row r="58" spans="1:3" ht="28.5" x14ac:dyDescent="0.25">
      <c r="A58" s="276" t="s">
        <v>576</v>
      </c>
      <c r="B58" s="277">
        <f>B59+B63+B67+B71</f>
        <v>1.5250480100000001</v>
      </c>
    </row>
    <row r="59" spans="1:3" s="278" customFormat="1" ht="30" x14ac:dyDescent="0.25">
      <c r="A59" s="279" t="s">
        <v>577</v>
      </c>
      <c r="B59" s="280">
        <v>1.5165150000000001</v>
      </c>
    </row>
    <row r="60" spans="1:3" x14ac:dyDescent="0.25">
      <c r="A60" s="274" t="s">
        <v>571</v>
      </c>
      <c r="B60" s="281">
        <f>B59/$B$27</f>
        <v>8.1640897217748823E-2</v>
      </c>
    </row>
    <row r="61" spans="1:3" x14ac:dyDescent="0.25">
      <c r="A61" s="274" t="s">
        <v>572</v>
      </c>
      <c r="B61" s="277">
        <v>1.5165150000000001</v>
      </c>
      <c r="C61" s="190">
        <v>1</v>
      </c>
    </row>
    <row r="62" spans="1:3" x14ac:dyDescent="0.25">
      <c r="A62" s="274" t="s">
        <v>573</v>
      </c>
      <c r="B62" s="277">
        <v>1.5165150000000001</v>
      </c>
      <c r="C62" s="190">
        <v>2</v>
      </c>
    </row>
    <row r="63" spans="1:3" s="278" customFormat="1" ht="30" x14ac:dyDescent="0.25">
      <c r="A63" s="279" t="s">
        <v>578</v>
      </c>
      <c r="B63" s="280">
        <v>8.5330100000000006E-3</v>
      </c>
    </row>
    <row r="64" spans="1:3" x14ac:dyDescent="0.25">
      <c r="A64" s="274" t="s">
        <v>571</v>
      </c>
      <c r="B64" s="281">
        <f>B63/$B$27</f>
        <v>4.593707232490433E-4</v>
      </c>
    </row>
    <row r="65" spans="1:3" x14ac:dyDescent="0.25">
      <c r="A65" s="274" t="s">
        <v>572</v>
      </c>
      <c r="B65" s="277">
        <v>8.5330100000000006E-3</v>
      </c>
      <c r="C65" s="190">
        <v>1</v>
      </c>
    </row>
    <row r="66" spans="1:3" x14ac:dyDescent="0.25">
      <c r="A66" s="274" t="s">
        <v>573</v>
      </c>
      <c r="B66" s="277">
        <v>8.5330100000000006E-3</v>
      </c>
      <c r="C66" s="190">
        <v>2</v>
      </c>
    </row>
    <row r="67" spans="1:3" s="278" customFormat="1" ht="30" x14ac:dyDescent="0.25">
      <c r="A67" s="282" t="s">
        <v>574</v>
      </c>
      <c r="B67" s="283">
        <v>0</v>
      </c>
    </row>
    <row r="68" spans="1:3" x14ac:dyDescent="0.25">
      <c r="A68" s="274" t="s">
        <v>571</v>
      </c>
      <c r="B68" s="281">
        <f>B67/$B$27</f>
        <v>0</v>
      </c>
    </row>
    <row r="69" spans="1:3" x14ac:dyDescent="0.25">
      <c r="A69" s="274" t="s">
        <v>572</v>
      </c>
      <c r="B69" s="277">
        <v>0</v>
      </c>
      <c r="C69" s="190">
        <v>1</v>
      </c>
    </row>
    <row r="70" spans="1:3" x14ac:dyDescent="0.25">
      <c r="A70" s="274" t="s">
        <v>573</v>
      </c>
      <c r="B70" s="277">
        <v>0</v>
      </c>
      <c r="C70" s="190">
        <v>2</v>
      </c>
    </row>
    <row r="71" spans="1:3" s="278" customFormat="1" ht="30" x14ac:dyDescent="0.25">
      <c r="A71" s="282" t="s">
        <v>574</v>
      </c>
      <c r="B71" s="283">
        <v>0</v>
      </c>
    </row>
    <row r="72" spans="1:3" x14ac:dyDescent="0.25">
      <c r="A72" s="274" t="s">
        <v>571</v>
      </c>
      <c r="B72" s="281">
        <f>B71/$B$27</f>
        <v>0</v>
      </c>
    </row>
    <row r="73" spans="1:3" x14ac:dyDescent="0.25">
      <c r="A73" s="274" t="s">
        <v>572</v>
      </c>
      <c r="B73" s="277">
        <v>0</v>
      </c>
      <c r="C73" s="190">
        <v>1</v>
      </c>
    </row>
    <row r="74" spans="1:3" x14ac:dyDescent="0.25">
      <c r="A74" s="274" t="s">
        <v>573</v>
      </c>
      <c r="B74" s="277">
        <v>0</v>
      </c>
      <c r="C74" s="190">
        <v>2</v>
      </c>
    </row>
    <row r="75" spans="1:3" ht="28.5" x14ac:dyDescent="0.25">
      <c r="A75" s="284" t="s">
        <v>579</v>
      </c>
      <c r="B75" s="281">
        <f>B30/B27</f>
        <v>0.94404030898273339</v>
      </c>
    </row>
    <row r="76" spans="1:3" x14ac:dyDescent="0.25">
      <c r="A76" s="285" t="s">
        <v>568</v>
      </c>
      <c r="B76" s="281"/>
    </row>
    <row r="77" spans="1:3" x14ac:dyDescent="0.25">
      <c r="A77" s="285" t="s">
        <v>580</v>
      </c>
      <c r="B77" s="281">
        <f>B34-B78</f>
        <v>0.76129901716206572</v>
      </c>
    </row>
    <row r="78" spans="1:3" x14ac:dyDescent="0.25">
      <c r="A78" s="285" t="s">
        <v>581</v>
      </c>
      <c r="B78" s="281">
        <f>1.55787548*1.2/B27</f>
        <v>0.10064102387966972</v>
      </c>
    </row>
    <row r="79" spans="1:3" x14ac:dyDescent="0.25">
      <c r="A79" s="285" t="s">
        <v>582</v>
      </c>
      <c r="B79" s="281">
        <f>(B59+B63)/B27</f>
        <v>8.2100267940997868E-2</v>
      </c>
    </row>
    <row r="80" spans="1:3" x14ac:dyDescent="0.25">
      <c r="A80" s="286" t="s">
        <v>583</v>
      </c>
      <c r="B80" s="287">
        <f>B81+B85</f>
        <v>1.039475484</v>
      </c>
    </row>
    <row r="81" spans="1:4" s="278" customFormat="1" ht="30" x14ac:dyDescent="0.25">
      <c r="A81" s="279" t="s">
        <v>584</v>
      </c>
      <c r="B81" s="280">
        <f>0.2235409*1.2</f>
        <v>0.26824907999999997</v>
      </c>
      <c r="C81" s="278">
        <v>40</v>
      </c>
    </row>
    <row r="82" spans="1:4" x14ac:dyDescent="0.25">
      <c r="A82" s="274" t="s">
        <v>571</v>
      </c>
      <c r="B82" s="281">
        <f>B81/$B$27</f>
        <v>1.4441067558867322E-2</v>
      </c>
    </row>
    <row r="83" spans="1:4" x14ac:dyDescent="0.25">
      <c r="A83" s="274" t="s">
        <v>572</v>
      </c>
      <c r="B83" s="277">
        <v>0.26824907999999997</v>
      </c>
      <c r="C83" s="190">
        <v>1</v>
      </c>
    </row>
    <row r="84" spans="1:4" x14ac:dyDescent="0.25">
      <c r="A84" s="274" t="s">
        <v>573</v>
      </c>
      <c r="B84" s="277">
        <v>0.26824907999999997</v>
      </c>
      <c r="C84" s="190">
        <v>2</v>
      </c>
    </row>
    <row r="85" spans="1:4" s="278" customFormat="1" ht="30" x14ac:dyDescent="0.25">
      <c r="A85" s="279" t="s">
        <v>585</v>
      </c>
      <c r="B85" s="280">
        <f>0.64268867*1.2</f>
        <v>0.77122640399999998</v>
      </c>
      <c r="C85" s="278">
        <v>40</v>
      </c>
    </row>
    <row r="86" spans="1:4" x14ac:dyDescent="0.25">
      <c r="A86" s="274" t="s">
        <v>571</v>
      </c>
      <c r="B86" s="281">
        <f>B85/$B$27</f>
        <v>4.1518623673737501E-2</v>
      </c>
    </row>
    <row r="87" spans="1:4" x14ac:dyDescent="0.25">
      <c r="A87" s="274" t="s">
        <v>572</v>
      </c>
      <c r="B87" s="277">
        <f>B85</f>
        <v>0.77122640399999998</v>
      </c>
      <c r="C87" s="190">
        <v>1</v>
      </c>
    </row>
    <row r="88" spans="1:4" x14ac:dyDescent="0.25">
      <c r="A88" s="274" t="s">
        <v>573</v>
      </c>
      <c r="B88" s="277">
        <f>B85</f>
        <v>0.77122640399999998</v>
      </c>
      <c r="C88" s="190">
        <v>2</v>
      </c>
    </row>
    <row r="89" spans="1:4" x14ac:dyDescent="0.25">
      <c r="A89" s="269" t="s">
        <v>586</v>
      </c>
      <c r="B89" s="288">
        <f>B90/$B$27</f>
        <v>1.0000000002153384</v>
      </c>
    </row>
    <row r="90" spans="1:4" x14ac:dyDescent="0.25">
      <c r="A90" s="269" t="s">
        <v>587</v>
      </c>
      <c r="B90" s="289">
        <f>SUMIF(C33:C88, 1,B33:B88)</f>
        <v>18.575432804000002</v>
      </c>
      <c r="C90" s="190">
        <f>'6.2. Паспорт фин осв ввод'!D24-'6.2. Паспорт фин осв ввод'!F24</f>
        <v>-8.1185298200000009</v>
      </c>
    </row>
    <row r="91" spans="1:4" x14ac:dyDescent="0.25">
      <c r="A91" s="269" t="s">
        <v>588</v>
      </c>
      <c r="B91" s="288">
        <f>B92/$B$27</f>
        <v>1.0000000002153384</v>
      </c>
    </row>
    <row r="92" spans="1:4" x14ac:dyDescent="0.25">
      <c r="A92" s="270" t="s">
        <v>589</v>
      </c>
      <c r="B92" s="289">
        <f>SUMIF(C35:C88, 2,B35:B88)</f>
        <v>18.575432804000002</v>
      </c>
      <c r="C92" s="190">
        <f>'6.2. Паспорт фин осв ввод'!D30-'6.2. Паспорт фин осв ввод'!F30</f>
        <v>-6.7654415200000004</v>
      </c>
      <c r="D92" s="290">
        <f>B92-C92</f>
        <v>25.340874324000001</v>
      </c>
    </row>
    <row r="93" spans="1:4" ht="15.6" customHeight="1" x14ac:dyDescent="0.25">
      <c r="A93" s="284" t="s">
        <v>590</v>
      </c>
      <c r="B93" s="285" t="s">
        <v>591</v>
      </c>
    </row>
    <row r="94" spans="1:4" x14ac:dyDescent="0.25">
      <c r="A94" s="291" t="s">
        <v>592</v>
      </c>
      <c r="B94" s="292" t="s">
        <v>540</v>
      </c>
    </row>
    <row r="95" spans="1:4" ht="45" x14ac:dyDescent="0.25">
      <c r="A95" s="291" t="s">
        <v>593</v>
      </c>
      <c r="B95" s="292" t="s">
        <v>594</v>
      </c>
    </row>
    <row r="96" spans="1:4" x14ac:dyDescent="0.25">
      <c r="A96" s="291" t="s">
        <v>595</v>
      </c>
      <c r="B96" s="292"/>
    </row>
    <row r="97" spans="1:2" ht="45" x14ac:dyDescent="0.25">
      <c r="A97" s="291" t="s">
        <v>596</v>
      </c>
      <c r="B97" s="292" t="s">
        <v>597</v>
      </c>
    </row>
    <row r="98" spans="1:2" x14ac:dyDescent="0.25">
      <c r="A98" s="293" t="s">
        <v>598</v>
      </c>
      <c r="B98" s="294"/>
    </row>
    <row r="99" spans="1:2" ht="30" x14ac:dyDescent="0.25">
      <c r="A99" s="285" t="s">
        <v>599</v>
      </c>
      <c r="B99" s="295" t="s">
        <v>23</v>
      </c>
    </row>
    <row r="100" spans="1:2" ht="28.5" x14ac:dyDescent="0.25">
      <c r="A100" s="269" t="s">
        <v>600</v>
      </c>
      <c r="B100" s="275">
        <v>7</v>
      </c>
    </row>
    <row r="101" spans="1:2" x14ac:dyDescent="0.25">
      <c r="A101" s="285" t="s">
        <v>568</v>
      </c>
      <c r="B101" s="296"/>
    </row>
    <row r="102" spans="1:2" x14ac:dyDescent="0.25">
      <c r="A102" s="285" t="s">
        <v>601</v>
      </c>
      <c r="B102" s="275">
        <v>4</v>
      </c>
    </row>
    <row r="103" spans="1:2" x14ac:dyDescent="0.25">
      <c r="A103" s="285" t="s">
        <v>602</v>
      </c>
      <c r="B103" s="296">
        <v>3</v>
      </c>
    </row>
    <row r="104" spans="1:2" x14ac:dyDescent="0.25">
      <c r="A104" s="297" t="s">
        <v>603</v>
      </c>
      <c r="B104" s="298" t="s">
        <v>61</v>
      </c>
    </row>
    <row r="105" spans="1:2" x14ac:dyDescent="0.25">
      <c r="A105" s="269" t="s">
        <v>604</v>
      </c>
      <c r="B105" s="299"/>
    </row>
    <row r="106" spans="1:2" x14ac:dyDescent="0.25">
      <c r="A106" s="291" t="s">
        <v>605</v>
      </c>
      <c r="B106" s="300" t="str">
        <f>'6.1. Паспорт сетевой график'!D43</f>
        <v>не требуется</v>
      </c>
    </row>
    <row r="107" spans="1:2" x14ac:dyDescent="0.25">
      <c r="A107" s="291" t="s">
        <v>606</v>
      </c>
      <c r="B107" s="301" t="s">
        <v>61</v>
      </c>
    </row>
    <row r="108" spans="1:2" x14ac:dyDescent="0.25">
      <c r="A108" s="291" t="s">
        <v>607</v>
      </c>
      <c r="B108" s="301" t="s">
        <v>61</v>
      </c>
    </row>
    <row r="109" spans="1:2" ht="30" x14ac:dyDescent="0.25">
      <c r="A109" s="302" t="s">
        <v>608</v>
      </c>
      <c r="B109" s="303" t="s">
        <v>609</v>
      </c>
    </row>
    <row r="110" spans="1:2" ht="28.5" customHeight="1" x14ac:dyDescent="0.25">
      <c r="A110" s="284" t="s">
        <v>610</v>
      </c>
      <c r="B110" s="424" t="s">
        <v>611</v>
      </c>
    </row>
    <row r="111" spans="1:2" x14ac:dyDescent="0.25">
      <c r="A111" s="291" t="s">
        <v>612</v>
      </c>
      <c r="B111" s="425"/>
    </row>
    <row r="112" spans="1:2" x14ac:dyDescent="0.25">
      <c r="A112" s="291" t="s">
        <v>613</v>
      </c>
      <c r="B112" s="425"/>
    </row>
    <row r="113" spans="1:2" x14ac:dyDescent="0.25">
      <c r="A113" s="291" t="s">
        <v>614</v>
      </c>
      <c r="B113" s="425"/>
    </row>
    <row r="114" spans="1:2" x14ac:dyDescent="0.25">
      <c r="A114" s="291" t="s">
        <v>615</v>
      </c>
      <c r="B114" s="425"/>
    </row>
    <row r="115" spans="1:2" ht="64.5" customHeight="1" x14ac:dyDescent="0.25">
      <c r="A115" s="304" t="s">
        <v>616</v>
      </c>
      <c r="B115" s="426"/>
    </row>
    <row r="118" spans="1:2" x14ac:dyDescent="0.25">
      <c r="A118" s="305"/>
      <c r="B118" s="306"/>
    </row>
    <row r="119" spans="1:2" x14ac:dyDescent="0.25">
      <c r="B119" s="307"/>
    </row>
    <row r="120" spans="1:2" x14ac:dyDescent="0.25">
      <c r="B120" s="308"/>
    </row>
  </sheetData>
  <mergeCells count="10">
    <mergeCell ref="A13:B13"/>
    <mergeCell ref="A15:B15"/>
    <mergeCell ref="A16:B16"/>
    <mergeCell ref="A18:B18"/>
    <mergeCell ref="B110:B11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09" t="str">
        <f>'1. паспорт местоположение'!A5:C5</f>
        <v>Год раскрытия информации: 2025 год</v>
      </c>
      <c r="B4" s="309"/>
      <c r="C4" s="309"/>
      <c r="D4" s="309"/>
      <c r="E4" s="309"/>
      <c r="F4" s="309"/>
      <c r="G4" s="309"/>
      <c r="H4" s="309"/>
      <c r="I4" s="309"/>
      <c r="J4" s="309"/>
      <c r="K4" s="309"/>
      <c r="L4" s="309"/>
      <c r="M4" s="309"/>
      <c r="N4" s="309"/>
      <c r="O4" s="309"/>
      <c r="P4" s="309"/>
      <c r="Q4" s="309"/>
      <c r="R4" s="309"/>
      <c r="S4" s="309"/>
    </row>
    <row r="5" spans="1:28" s="2" customFormat="1" ht="15.75" x14ac:dyDescent="0.2">
      <c r="A5" s="6"/>
    </row>
    <row r="6" spans="1:28" s="2" customFormat="1" ht="18.75" x14ac:dyDescent="0.2">
      <c r="A6" s="310" t="s">
        <v>4</v>
      </c>
      <c r="B6" s="310"/>
      <c r="C6" s="310"/>
      <c r="D6" s="310"/>
      <c r="E6" s="310"/>
      <c r="F6" s="310"/>
      <c r="G6" s="310"/>
      <c r="H6" s="310"/>
      <c r="I6" s="310"/>
      <c r="J6" s="310"/>
      <c r="K6" s="310"/>
      <c r="L6" s="310"/>
      <c r="M6" s="310"/>
      <c r="N6" s="310"/>
      <c r="O6" s="310"/>
      <c r="P6" s="310"/>
      <c r="Q6" s="310"/>
      <c r="R6" s="310"/>
      <c r="S6" s="310"/>
      <c r="T6" s="10"/>
      <c r="U6" s="10"/>
      <c r="V6" s="10"/>
      <c r="W6" s="10"/>
      <c r="X6" s="10"/>
      <c r="Y6" s="10"/>
      <c r="Z6" s="10"/>
      <c r="AA6" s="10"/>
      <c r="AB6" s="10"/>
    </row>
    <row r="7" spans="1:28" s="2" customFormat="1" ht="18.75" x14ac:dyDescent="0.2">
      <c r="A7" s="310"/>
      <c r="B7" s="310"/>
      <c r="C7" s="310"/>
      <c r="D7" s="310"/>
      <c r="E7" s="310"/>
      <c r="F7" s="310"/>
      <c r="G7" s="310"/>
      <c r="H7" s="310"/>
      <c r="I7" s="310"/>
      <c r="J7" s="310"/>
      <c r="K7" s="310"/>
      <c r="L7" s="310"/>
      <c r="M7" s="310"/>
      <c r="N7" s="310"/>
      <c r="O7" s="310"/>
      <c r="P7" s="310"/>
      <c r="Q7" s="310"/>
      <c r="R7" s="310"/>
      <c r="S7" s="310"/>
      <c r="T7" s="10"/>
      <c r="U7" s="10"/>
      <c r="V7" s="10"/>
      <c r="W7" s="10"/>
      <c r="X7" s="10"/>
      <c r="Y7" s="10"/>
      <c r="Z7" s="10"/>
      <c r="AA7" s="10"/>
      <c r="AB7" s="10"/>
    </row>
    <row r="8" spans="1:28" s="2" customFormat="1" ht="18.75" x14ac:dyDescent="0.2">
      <c r="A8" s="322" t="str">
        <f>'1. паспорт местоположение'!A9:C9</f>
        <v>Акционерное общество "Россети Янтарь" ДЗО  ПАО "Россети"</v>
      </c>
      <c r="B8" s="322"/>
      <c r="C8" s="322"/>
      <c r="D8" s="322"/>
      <c r="E8" s="322"/>
      <c r="F8" s="322"/>
      <c r="G8" s="322"/>
      <c r="H8" s="322"/>
      <c r="I8" s="322"/>
      <c r="J8" s="322"/>
      <c r="K8" s="322"/>
      <c r="L8" s="322"/>
      <c r="M8" s="322"/>
      <c r="N8" s="322"/>
      <c r="O8" s="322"/>
      <c r="P8" s="322"/>
      <c r="Q8" s="322"/>
      <c r="R8" s="322"/>
      <c r="S8" s="322"/>
      <c r="T8" s="10"/>
      <c r="U8" s="10"/>
      <c r="V8" s="10"/>
      <c r="W8" s="10"/>
      <c r="X8" s="10"/>
      <c r="Y8" s="10"/>
      <c r="Z8" s="10"/>
      <c r="AA8" s="10"/>
      <c r="AB8" s="10"/>
    </row>
    <row r="9" spans="1:28" s="2" customFormat="1" ht="18.75" x14ac:dyDescent="0.2">
      <c r="A9" s="312" t="s">
        <v>6</v>
      </c>
      <c r="B9" s="312"/>
      <c r="C9" s="312"/>
      <c r="D9" s="312"/>
      <c r="E9" s="312"/>
      <c r="F9" s="312"/>
      <c r="G9" s="312"/>
      <c r="H9" s="312"/>
      <c r="I9" s="312"/>
      <c r="J9" s="312"/>
      <c r="K9" s="312"/>
      <c r="L9" s="312"/>
      <c r="M9" s="312"/>
      <c r="N9" s="312"/>
      <c r="O9" s="312"/>
      <c r="P9" s="312"/>
      <c r="Q9" s="312"/>
      <c r="R9" s="312"/>
      <c r="S9" s="312"/>
      <c r="T9" s="10"/>
      <c r="U9" s="10"/>
      <c r="V9" s="10"/>
      <c r="W9" s="10"/>
      <c r="X9" s="10"/>
      <c r="Y9" s="10"/>
      <c r="Z9" s="10"/>
      <c r="AA9" s="10"/>
      <c r="AB9" s="10"/>
    </row>
    <row r="10" spans="1:28" s="2" customFormat="1" ht="18.75" x14ac:dyDescent="0.2">
      <c r="A10" s="310"/>
      <c r="B10" s="310"/>
      <c r="C10" s="310"/>
      <c r="D10" s="310"/>
      <c r="E10" s="310"/>
      <c r="F10" s="310"/>
      <c r="G10" s="310"/>
      <c r="H10" s="310"/>
      <c r="I10" s="310"/>
      <c r="J10" s="310"/>
      <c r="K10" s="310"/>
      <c r="L10" s="310"/>
      <c r="M10" s="310"/>
      <c r="N10" s="310"/>
      <c r="O10" s="310"/>
      <c r="P10" s="310"/>
      <c r="Q10" s="310"/>
      <c r="R10" s="310"/>
      <c r="S10" s="310"/>
      <c r="T10" s="10"/>
      <c r="U10" s="10"/>
      <c r="V10" s="10"/>
      <c r="W10" s="10"/>
      <c r="X10" s="10"/>
      <c r="Y10" s="10"/>
      <c r="Z10" s="10"/>
      <c r="AA10" s="10"/>
      <c r="AB10" s="10"/>
    </row>
    <row r="11" spans="1:28" s="2" customFormat="1" ht="18.75" x14ac:dyDescent="0.2">
      <c r="A11" s="322" t="str">
        <f>'1. паспорт местоположение'!A12:C12</f>
        <v>H_16-0403</v>
      </c>
      <c r="B11" s="322"/>
      <c r="C11" s="322"/>
      <c r="D11" s="322"/>
      <c r="E11" s="322"/>
      <c r="F11" s="322"/>
      <c r="G11" s="322"/>
      <c r="H11" s="322"/>
      <c r="I11" s="322"/>
      <c r="J11" s="322"/>
      <c r="K11" s="322"/>
      <c r="L11" s="322"/>
      <c r="M11" s="322"/>
      <c r="N11" s="322"/>
      <c r="O11" s="322"/>
      <c r="P11" s="322"/>
      <c r="Q11" s="322"/>
      <c r="R11" s="322"/>
      <c r="S11" s="322"/>
      <c r="T11" s="10"/>
      <c r="U11" s="10"/>
      <c r="V11" s="10"/>
      <c r="W11" s="10"/>
      <c r="X11" s="10"/>
      <c r="Y11" s="10"/>
      <c r="Z11" s="10"/>
      <c r="AA11" s="10"/>
      <c r="AB11" s="10"/>
    </row>
    <row r="12" spans="1:28" s="2" customFormat="1" ht="18.75" x14ac:dyDescent="0.2">
      <c r="A12" s="312" t="s">
        <v>8</v>
      </c>
      <c r="B12" s="312"/>
      <c r="C12" s="312"/>
      <c r="D12" s="312"/>
      <c r="E12" s="312"/>
      <c r="F12" s="312"/>
      <c r="G12" s="312"/>
      <c r="H12" s="312"/>
      <c r="I12" s="312"/>
      <c r="J12" s="312"/>
      <c r="K12" s="312"/>
      <c r="L12" s="312"/>
      <c r="M12" s="312"/>
      <c r="N12" s="312"/>
      <c r="O12" s="312"/>
      <c r="P12" s="312"/>
      <c r="Q12" s="312"/>
      <c r="R12" s="312"/>
      <c r="S12" s="312"/>
      <c r="T12" s="10"/>
      <c r="U12" s="10"/>
      <c r="V12" s="10"/>
      <c r="W12" s="10"/>
      <c r="X12" s="10"/>
      <c r="Y12" s="10"/>
      <c r="Z12" s="10"/>
      <c r="AA12" s="10"/>
      <c r="AB12" s="10"/>
    </row>
    <row r="13" spans="1:28" s="2" customFormat="1" ht="15.75" customHeight="1" x14ac:dyDescent="0.2">
      <c r="A13" s="323"/>
      <c r="B13" s="323"/>
      <c r="C13" s="323"/>
      <c r="D13" s="323"/>
      <c r="E13" s="323"/>
      <c r="F13" s="323"/>
      <c r="G13" s="323"/>
      <c r="H13" s="323"/>
      <c r="I13" s="323"/>
      <c r="J13" s="323"/>
      <c r="K13" s="323"/>
      <c r="L13" s="323"/>
      <c r="M13" s="323"/>
      <c r="N13" s="323"/>
      <c r="O13" s="323"/>
      <c r="P13" s="323"/>
      <c r="Q13" s="323"/>
      <c r="R13" s="323"/>
      <c r="S13" s="323"/>
      <c r="T13" s="14"/>
      <c r="U13" s="14"/>
      <c r="V13" s="14"/>
      <c r="W13" s="14"/>
      <c r="X13" s="14"/>
      <c r="Y13" s="14"/>
      <c r="Z13" s="14"/>
      <c r="AA13" s="14"/>
      <c r="AB13" s="14"/>
    </row>
    <row r="14" spans="1:28" s="15" customFormat="1" ht="12" x14ac:dyDescent="0.2">
      <c r="A14" s="322" t="str">
        <f>'1. паспорт местоположение'!A9:C9</f>
        <v>Акционерное общество "Россети Янтарь" ДЗО  ПАО "Россети"</v>
      </c>
      <c r="B14" s="322"/>
      <c r="C14" s="322"/>
      <c r="D14" s="322"/>
      <c r="E14" s="322"/>
      <c r="F14" s="322"/>
      <c r="G14" s="322"/>
      <c r="H14" s="322"/>
      <c r="I14" s="322"/>
      <c r="J14" s="322"/>
      <c r="K14" s="322"/>
      <c r="L14" s="322"/>
      <c r="M14" s="322"/>
      <c r="N14" s="322"/>
      <c r="O14" s="322"/>
      <c r="P14" s="322"/>
      <c r="Q14" s="322"/>
      <c r="R14" s="322"/>
      <c r="S14" s="322"/>
      <c r="T14" s="11"/>
      <c r="U14" s="11"/>
      <c r="V14" s="11"/>
      <c r="W14" s="11"/>
      <c r="X14" s="11"/>
      <c r="Y14" s="11"/>
      <c r="Z14" s="11"/>
      <c r="AA14" s="11"/>
      <c r="AB14" s="11"/>
    </row>
    <row r="15" spans="1:28" s="15" customFormat="1" ht="15" customHeight="1" x14ac:dyDescent="0.2">
      <c r="A15" s="324" t="str">
        <f>'1. паспорт местоположение'!A15:C15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312"/>
      <c r="C15" s="312"/>
      <c r="D15" s="312"/>
      <c r="E15" s="312"/>
      <c r="F15" s="312"/>
      <c r="G15" s="312"/>
      <c r="H15" s="312"/>
      <c r="I15" s="312"/>
      <c r="J15" s="312"/>
      <c r="K15" s="312"/>
      <c r="L15" s="312"/>
      <c r="M15" s="312"/>
      <c r="N15" s="312"/>
      <c r="O15" s="312"/>
      <c r="P15" s="312"/>
      <c r="Q15" s="312"/>
      <c r="R15" s="312"/>
      <c r="S15" s="312"/>
      <c r="T15" s="12"/>
      <c r="U15" s="12"/>
      <c r="V15" s="12"/>
      <c r="W15" s="12"/>
      <c r="X15" s="12"/>
      <c r="Y15" s="12"/>
      <c r="Z15" s="12"/>
      <c r="AA15" s="12"/>
      <c r="AB15" s="12"/>
    </row>
    <row r="16" spans="1:28" s="15" customFormat="1" ht="15" customHeight="1" x14ac:dyDescent="0.2">
      <c r="A16" s="323"/>
      <c r="B16" s="323"/>
      <c r="C16" s="323"/>
      <c r="D16" s="323"/>
      <c r="E16" s="323"/>
      <c r="F16" s="323"/>
      <c r="G16" s="323"/>
      <c r="H16" s="323"/>
      <c r="I16" s="323"/>
      <c r="J16" s="323"/>
      <c r="K16" s="323"/>
      <c r="L16" s="323"/>
      <c r="M16" s="323"/>
      <c r="N16" s="323"/>
      <c r="O16" s="323"/>
      <c r="P16" s="323"/>
      <c r="Q16" s="323"/>
      <c r="R16" s="323"/>
      <c r="S16" s="323"/>
      <c r="T16" s="14"/>
      <c r="U16" s="14"/>
      <c r="V16" s="14"/>
      <c r="W16" s="14"/>
      <c r="X16" s="14"/>
      <c r="Y16" s="14"/>
    </row>
    <row r="17" spans="1:28" s="15" customFormat="1" ht="45.75" customHeight="1" x14ac:dyDescent="0.2">
      <c r="A17" s="320" t="s">
        <v>76</v>
      </c>
      <c r="B17" s="320"/>
      <c r="C17" s="320"/>
      <c r="D17" s="320"/>
      <c r="E17" s="320"/>
      <c r="F17" s="320"/>
      <c r="G17" s="320"/>
      <c r="H17" s="320"/>
      <c r="I17" s="320"/>
      <c r="J17" s="320"/>
      <c r="K17" s="320"/>
      <c r="L17" s="320"/>
      <c r="M17" s="320"/>
      <c r="N17" s="320"/>
      <c r="O17" s="320"/>
      <c r="P17" s="320"/>
      <c r="Q17" s="320"/>
      <c r="R17" s="320"/>
      <c r="S17" s="320"/>
      <c r="T17" s="16"/>
      <c r="U17" s="16"/>
      <c r="V17" s="16"/>
      <c r="W17" s="16"/>
      <c r="X17" s="16"/>
      <c r="Y17" s="16"/>
      <c r="Z17" s="16"/>
      <c r="AA17" s="16"/>
      <c r="AB17" s="16"/>
    </row>
    <row r="18" spans="1:28" s="15"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14"/>
      <c r="U18" s="14"/>
      <c r="V18" s="14"/>
      <c r="W18" s="14"/>
      <c r="X18" s="14"/>
      <c r="Y18" s="14"/>
    </row>
    <row r="19" spans="1:28" s="15" customFormat="1" ht="54" customHeight="1" x14ac:dyDescent="0.2">
      <c r="A19" s="326" t="s">
        <v>12</v>
      </c>
      <c r="B19" s="326" t="s">
        <v>77</v>
      </c>
      <c r="C19" s="327" t="s">
        <v>78</v>
      </c>
      <c r="D19" s="326" t="s">
        <v>79</v>
      </c>
      <c r="E19" s="326" t="s">
        <v>80</v>
      </c>
      <c r="F19" s="326" t="s">
        <v>81</v>
      </c>
      <c r="G19" s="326" t="s">
        <v>82</v>
      </c>
      <c r="H19" s="326" t="s">
        <v>83</v>
      </c>
      <c r="I19" s="326" t="s">
        <v>84</v>
      </c>
      <c r="J19" s="326" t="s">
        <v>85</v>
      </c>
      <c r="K19" s="326" t="s">
        <v>86</v>
      </c>
      <c r="L19" s="326" t="s">
        <v>87</v>
      </c>
      <c r="M19" s="326" t="s">
        <v>88</v>
      </c>
      <c r="N19" s="326" t="s">
        <v>89</v>
      </c>
      <c r="O19" s="326" t="s">
        <v>90</v>
      </c>
      <c r="P19" s="326" t="s">
        <v>91</v>
      </c>
      <c r="Q19" s="326" t="s">
        <v>92</v>
      </c>
      <c r="R19" s="326"/>
      <c r="S19" s="329" t="s">
        <v>93</v>
      </c>
      <c r="T19" s="14"/>
      <c r="U19" s="14"/>
      <c r="V19" s="14"/>
      <c r="W19" s="14"/>
      <c r="X19" s="14"/>
      <c r="Y19" s="14"/>
    </row>
    <row r="20" spans="1:28" s="15" customFormat="1" ht="180.75" customHeight="1" x14ac:dyDescent="0.2">
      <c r="A20" s="326"/>
      <c r="B20" s="326"/>
      <c r="C20" s="328"/>
      <c r="D20" s="326"/>
      <c r="E20" s="326"/>
      <c r="F20" s="326"/>
      <c r="G20" s="326"/>
      <c r="H20" s="326"/>
      <c r="I20" s="326"/>
      <c r="J20" s="326"/>
      <c r="K20" s="326"/>
      <c r="L20" s="326"/>
      <c r="M20" s="326"/>
      <c r="N20" s="326"/>
      <c r="O20" s="326"/>
      <c r="P20" s="326"/>
      <c r="Q20" s="29" t="s">
        <v>94</v>
      </c>
      <c r="R20" s="30" t="s">
        <v>95</v>
      </c>
      <c r="S20" s="329"/>
      <c r="T20" s="14"/>
      <c r="U20" s="14"/>
      <c r="V20" s="14"/>
      <c r="W20" s="14"/>
      <c r="X20" s="14"/>
      <c r="Y20" s="14"/>
    </row>
    <row r="21" spans="1:28" s="15"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14"/>
      <c r="U21" s="14"/>
      <c r="V21" s="14"/>
      <c r="W21" s="14"/>
      <c r="X21" s="14"/>
      <c r="Y21" s="14"/>
    </row>
    <row r="22" spans="1:28" s="15" customFormat="1" ht="18.75" x14ac:dyDescent="0.2">
      <c r="A22" s="29">
        <v>1</v>
      </c>
      <c r="B22" s="18"/>
      <c r="C22" s="29"/>
      <c r="D22" s="19"/>
      <c r="E22" s="18"/>
      <c r="F22" s="19"/>
      <c r="G22" s="18"/>
      <c r="H22" s="19"/>
      <c r="I22" s="18"/>
      <c r="J22" s="19"/>
      <c r="K22" s="18"/>
      <c r="L22" s="19"/>
      <c r="M22" s="18"/>
      <c r="N22" s="19"/>
      <c r="O22" s="18"/>
      <c r="P22" s="19"/>
      <c r="Q22" s="19"/>
      <c r="R22" s="32"/>
      <c r="S22" s="33"/>
      <c r="W22" s="14"/>
      <c r="X22" s="14"/>
      <c r="Y22" s="14"/>
    </row>
    <row r="23" spans="1:28" ht="20.25" customHeight="1" x14ac:dyDescent="0.25">
      <c r="A23" s="34"/>
      <c r="B23" s="31" t="s">
        <v>96</v>
      </c>
      <c r="C23" s="31"/>
      <c r="D23" s="31"/>
      <c r="E23" s="34" t="s">
        <v>97</v>
      </c>
      <c r="F23" s="34" t="s">
        <v>97</v>
      </c>
      <c r="G23" s="34" t="s">
        <v>97</v>
      </c>
      <c r="H23" s="35">
        <f>H22</f>
        <v>0</v>
      </c>
      <c r="I23" s="34"/>
      <c r="J23" s="35">
        <f>J22</f>
        <v>0</v>
      </c>
      <c r="K23" s="34"/>
      <c r="L23" s="34"/>
      <c r="M23" s="34"/>
      <c r="N23" s="34"/>
      <c r="O23" s="34"/>
      <c r="P23" s="34"/>
      <c r="Q23" s="36"/>
      <c r="R23" s="27"/>
      <c r="S23" s="35">
        <f>S22</f>
        <v>0</v>
      </c>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0" zoomScale="70" workbookViewId="0">
      <selection activeCell="A25" sqref="A25:XFD25"/>
    </sheetView>
  </sheetViews>
  <sheetFormatPr defaultColWidth="10.7109375" defaultRowHeight="15.75" x14ac:dyDescent="0.25"/>
  <cols>
    <col min="1" max="1" width="9.5703125" style="37" customWidth="1"/>
    <col min="2" max="3" width="12.85546875" style="37" customWidth="1"/>
    <col min="4" max="4" width="17.7109375" style="37" customWidth="1"/>
    <col min="5" max="5" width="11.140625" style="37" customWidth="1"/>
    <col min="6" max="6" width="11" style="37" customWidth="1"/>
    <col min="7" max="7" width="10.5703125" style="37" customWidth="1"/>
    <col min="8" max="8" width="10.28515625" style="37" customWidth="1"/>
    <col min="9" max="9" width="7.28515625"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09" t="str">
        <f>'1. паспорт местоположение'!A5:C5</f>
        <v>Год раскрытия информации: 2025 год</v>
      </c>
      <c r="B6" s="309"/>
      <c r="C6" s="309"/>
      <c r="D6" s="309"/>
      <c r="E6" s="309"/>
      <c r="F6" s="309"/>
      <c r="G6" s="309"/>
      <c r="H6" s="309"/>
      <c r="I6" s="309"/>
      <c r="J6" s="309"/>
      <c r="K6" s="309"/>
      <c r="L6" s="309"/>
      <c r="M6" s="309"/>
      <c r="N6" s="309"/>
      <c r="O6" s="309"/>
      <c r="P6" s="309"/>
      <c r="Q6" s="309"/>
      <c r="R6" s="309"/>
      <c r="S6" s="309"/>
      <c r="T6" s="309"/>
    </row>
    <row r="7" spans="1:20" s="2" customFormat="1" x14ac:dyDescent="0.2">
      <c r="A7" s="6"/>
    </row>
    <row r="8" spans="1:20" s="2" customFormat="1" ht="18.75" x14ac:dyDescent="0.2">
      <c r="A8" s="310" t="s">
        <v>4</v>
      </c>
      <c r="B8" s="310"/>
      <c r="C8" s="310"/>
      <c r="D8" s="310"/>
      <c r="E8" s="310"/>
      <c r="F8" s="310"/>
      <c r="G8" s="310"/>
      <c r="H8" s="310"/>
      <c r="I8" s="310"/>
      <c r="J8" s="310"/>
      <c r="K8" s="310"/>
      <c r="L8" s="310"/>
      <c r="M8" s="310"/>
      <c r="N8" s="310"/>
      <c r="O8" s="310"/>
      <c r="P8" s="310"/>
      <c r="Q8" s="310"/>
      <c r="R8" s="310"/>
      <c r="S8" s="310"/>
      <c r="T8" s="310"/>
    </row>
    <row r="9" spans="1:20" s="2"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2" customFormat="1" ht="18.75" customHeight="1" x14ac:dyDescent="0.2">
      <c r="A10" s="322" t="str">
        <f>'1. паспорт местоположение'!A9:C9</f>
        <v>Акционерное общество "Россети Янтарь" ДЗО  ПАО "Россети"</v>
      </c>
      <c r="B10" s="322"/>
      <c r="C10" s="322"/>
      <c r="D10" s="322"/>
      <c r="E10" s="322"/>
      <c r="F10" s="322"/>
      <c r="G10" s="322"/>
      <c r="H10" s="322"/>
      <c r="I10" s="322"/>
      <c r="J10" s="322"/>
      <c r="K10" s="322"/>
      <c r="L10" s="322"/>
      <c r="M10" s="322"/>
      <c r="N10" s="322"/>
      <c r="O10" s="322"/>
      <c r="P10" s="322"/>
      <c r="Q10" s="322"/>
      <c r="R10" s="322"/>
      <c r="S10" s="322"/>
      <c r="T10" s="322"/>
    </row>
    <row r="11" spans="1:20" s="2" customFormat="1" ht="18.75" customHeight="1" x14ac:dyDescent="0.2">
      <c r="A11" s="312" t="s">
        <v>6</v>
      </c>
      <c r="B11" s="312"/>
      <c r="C11" s="312"/>
      <c r="D11" s="312"/>
      <c r="E11" s="312"/>
      <c r="F11" s="312"/>
      <c r="G11" s="312"/>
      <c r="H11" s="312"/>
      <c r="I11" s="312"/>
      <c r="J11" s="312"/>
      <c r="K11" s="312"/>
      <c r="L11" s="312"/>
      <c r="M11" s="312"/>
      <c r="N11" s="312"/>
      <c r="O11" s="312"/>
      <c r="P11" s="312"/>
      <c r="Q11" s="312"/>
      <c r="R11" s="312"/>
      <c r="S11" s="312"/>
      <c r="T11" s="312"/>
    </row>
    <row r="12" spans="1:20" s="2"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2" customFormat="1" ht="18.75" customHeight="1" x14ac:dyDescent="0.2">
      <c r="A13" s="322" t="str">
        <f>'1. паспорт местоположение'!A12:C12</f>
        <v>H_16-0403</v>
      </c>
      <c r="B13" s="322"/>
      <c r="C13" s="322"/>
      <c r="D13" s="322"/>
      <c r="E13" s="322"/>
      <c r="F13" s="322"/>
      <c r="G13" s="322"/>
      <c r="H13" s="322"/>
      <c r="I13" s="322"/>
      <c r="J13" s="322"/>
      <c r="K13" s="322"/>
      <c r="L13" s="322"/>
      <c r="M13" s="322"/>
      <c r="N13" s="322"/>
      <c r="O13" s="322"/>
      <c r="P13" s="322"/>
      <c r="Q13" s="322"/>
      <c r="R13" s="322"/>
      <c r="S13" s="322"/>
      <c r="T13" s="322"/>
    </row>
    <row r="14" spans="1:20" s="2" customFormat="1" ht="18.75" customHeight="1" x14ac:dyDescent="0.2">
      <c r="A14" s="312" t="s">
        <v>8</v>
      </c>
      <c r="B14" s="312"/>
      <c r="C14" s="312"/>
      <c r="D14" s="312"/>
      <c r="E14" s="312"/>
      <c r="F14" s="312"/>
      <c r="G14" s="312"/>
      <c r="H14" s="312"/>
      <c r="I14" s="312"/>
      <c r="J14" s="312"/>
      <c r="K14" s="312"/>
      <c r="L14" s="312"/>
      <c r="M14" s="312"/>
      <c r="N14" s="312"/>
      <c r="O14" s="312"/>
      <c r="P14" s="312"/>
      <c r="Q14" s="312"/>
      <c r="R14" s="312"/>
      <c r="S14" s="312"/>
      <c r="T14" s="312"/>
    </row>
    <row r="15" spans="1:20" s="2" customFormat="1" ht="15.75" customHeight="1" x14ac:dyDescent="0.2">
      <c r="A15" s="323"/>
      <c r="B15" s="323"/>
      <c r="C15" s="323"/>
      <c r="D15" s="323"/>
      <c r="E15" s="323"/>
      <c r="F15" s="323"/>
      <c r="G15" s="323"/>
      <c r="H15" s="323"/>
      <c r="I15" s="323"/>
      <c r="J15" s="323"/>
      <c r="K15" s="323"/>
      <c r="L15" s="323"/>
      <c r="M15" s="323"/>
      <c r="N15" s="323"/>
      <c r="O15" s="323"/>
      <c r="P15" s="323"/>
      <c r="Q15" s="323"/>
      <c r="R15" s="323"/>
      <c r="S15" s="323"/>
      <c r="T15" s="323"/>
    </row>
    <row r="16" spans="1:20" s="15" customFormat="1" ht="12" x14ac:dyDescent="0.2">
      <c r="A16" s="322"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6" s="322"/>
      <c r="C16" s="322"/>
      <c r="D16" s="322"/>
      <c r="E16" s="322"/>
      <c r="F16" s="322"/>
      <c r="G16" s="322"/>
      <c r="H16" s="322"/>
      <c r="I16" s="322"/>
      <c r="J16" s="322"/>
      <c r="K16" s="322"/>
      <c r="L16" s="322"/>
      <c r="M16" s="322"/>
      <c r="N16" s="322"/>
      <c r="O16" s="322"/>
      <c r="P16" s="322"/>
      <c r="Q16" s="322"/>
      <c r="R16" s="322"/>
      <c r="S16" s="322"/>
      <c r="T16" s="322"/>
    </row>
    <row r="17" spans="1:20" s="15" customFormat="1" ht="15" customHeight="1" x14ac:dyDescent="0.2">
      <c r="A17" s="312" t="s">
        <v>10</v>
      </c>
      <c r="B17" s="312"/>
      <c r="C17" s="312"/>
      <c r="D17" s="312"/>
      <c r="E17" s="312"/>
      <c r="F17" s="312"/>
      <c r="G17" s="312"/>
      <c r="H17" s="312"/>
      <c r="I17" s="312"/>
      <c r="J17" s="312"/>
      <c r="K17" s="312"/>
      <c r="L17" s="312"/>
      <c r="M17" s="312"/>
      <c r="N17" s="312"/>
      <c r="O17" s="312"/>
      <c r="P17" s="312"/>
      <c r="Q17" s="312"/>
      <c r="R17" s="312"/>
      <c r="S17" s="312"/>
      <c r="T17" s="312"/>
    </row>
    <row r="18" spans="1:20" s="15" customFormat="1" ht="15" customHeight="1" x14ac:dyDescent="0.2">
      <c r="A18" s="323"/>
      <c r="B18" s="323"/>
      <c r="C18" s="323"/>
      <c r="D18" s="323"/>
      <c r="E18" s="323"/>
      <c r="F18" s="323"/>
      <c r="G18" s="323"/>
      <c r="H18" s="323"/>
      <c r="I18" s="323"/>
      <c r="J18" s="323"/>
      <c r="K18" s="323"/>
      <c r="L18" s="323"/>
      <c r="M18" s="323"/>
      <c r="N18" s="323"/>
      <c r="O18" s="323"/>
      <c r="P18" s="323"/>
      <c r="Q18" s="323"/>
      <c r="R18" s="323"/>
      <c r="S18" s="323"/>
      <c r="T18" s="323"/>
    </row>
    <row r="19" spans="1:20" s="15" customFormat="1" ht="15" customHeight="1" x14ac:dyDescent="0.2">
      <c r="A19" s="321" t="s">
        <v>98</v>
      </c>
      <c r="B19" s="321"/>
      <c r="C19" s="321"/>
      <c r="D19" s="321"/>
      <c r="E19" s="321"/>
      <c r="F19" s="321"/>
      <c r="G19" s="321"/>
      <c r="H19" s="321"/>
      <c r="I19" s="321"/>
      <c r="J19" s="321"/>
      <c r="K19" s="321"/>
      <c r="L19" s="321"/>
      <c r="M19" s="321"/>
      <c r="N19" s="321"/>
      <c r="O19" s="321"/>
      <c r="P19" s="321"/>
      <c r="Q19" s="321"/>
      <c r="R19" s="321"/>
      <c r="S19" s="321"/>
      <c r="T19" s="321"/>
    </row>
    <row r="20" spans="1:20" s="38" customFormat="1" ht="21" customHeight="1" x14ac:dyDescent="0.25">
      <c r="A20" s="333"/>
      <c r="B20" s="333"/>
      <c r="C20" s="333"/>
      <c r="D20" s="333"/>
      <c r="E20" s="333"/>
      <c r="F20" s="333"/>
      <c r="G20" s="333"/>
      <c r="H20" s="333"/>
      <c r="I20" s="333"/>
      <c r="J20" s="333"/>
      <c r="K20" s="333"/>
      <c r="L20" s="333"/>
      <c r="M20" s="333"/>
      <c r="N20" s="333"/>
      <c r="O20" s="333"/>
      <c r="P20" s="333"/>
      <c r="Q20" s="333"/>
      <c r="R20" s="333"/>
      <c r="S20" s="333"/>
      <c r="T20" s="333"/>
    </row>
    <row r="21" spans="1:20" ht="46.5" customHeight="1" x14ac:dyDescent="0.25">
      <c r="A21" s="334" t="s">
        <v>12</v>
      </c>
      <c r="B21" s="337" t="s">
        <v>99</v>
      </c>
      <c r="C21" s="338"/>
      <c r="D21" s="341" t="s">
        <v>100</v>
      </c>
      <c r="E21" s="337" t="s">
        <v>101</v>
      </c>
      <c r="F21" s="338"/>
      <c r="G21" s="337" t="s">
        <v>102</v>
      </c>
      <c r="H21" s="338"/>
      <c r="I21" s="337" t="s">
        <v>103</v>
      </c>
      <c r="J21" s="338"/>
      <c r="K21" s="341" t="s">
        <v>104</v>
      </c>
      <c r="L21" s="337" t="s">
        <v>105</v>
      </c>
      <c r="M21" s="338"/>
      <c r="N21" s="337" t="s">
        <v>106</v>
      </c>
      <c r="O21" s="338"/>
      <c r="P21" s="341" t="s">
        <v>107</v>
      </c>
      <c r="Q21" s="330" t="s">
        <v>108</v>
      </c>
      <c r="R21" s="344"/>
      <c r="S21" s="330" t="s">
        <v>109</v>
      </c>
      <c r="T21" s="331"/>
    </row>
    <row r="22" spans="1:20" ht="204.75" customHeight="1" x14ac:dyDescent="0.25">
      <c r="A22" s="335"/>
      <c r="B22" s="339"/>
      <c r="C22" s="340"/>
      <c r="D22" s="342"/>
      <c r="E22" s="339"/>
      <c r="F22" s="340"/>
      <c r="G22" s="339"/>
      <c r="H22" s="340"/>
      <c r="I22" s="339"/>
      <c r="J22" s="340"/>
      <c r="K22" s="343"/>
      <c r="L22" s="339"/>
      <c r="M22" s="340"/>
      <c r="N22" s="339"/>
      <c r="O22" s="340"/>
      <c r="P22" s="343"/>
      <c r="Q22" s="40" t="s">
        <v>110</v>
      </c>
      <c r="R22" s="40" t="s">
        <v>111</v>
      </c>
      <c r="S22" s="40" t="s">
        <v>112</v>
      </c>
      <c r="T22" s="40" t="s">
        <v>113</v>
      </c>
    </row>
    <row r="23" spans="1:20" ht="51.75" customHeight="1" x14ac:dyDescent="0.25">
      <c r="A23" s="336"/>
      <c r="B23" s="40" t="s">
        <v>114</v>
      </c>
      <c r="C23" s="40" t="s">
        <v>115</v>
      </c>
      <c r="D23" s="343"/>
      <c r="E23" s="40" t="s">
        <v>114</v>
      </c>
      <c r="F23" s="40" t="s">
        <v>115</v>
      </c>
      <c r="G23" s="40" t="s">
        <v>114</v>
      </c>
      <c r="H23" s="40" t="s">
        <v>115</v>
      </c>
      <c r="I23" s="40" t="s">
        <v>114</v>
      </c>
      <c r="J23" s="40" t="s">
        <v>115</v>
      </c>
      <c r="K23" s="40" t="s">
        <v>114</v>
      </c>
      <c r="L23" s="40" t="s">
        <v>114</v>
      </c>
      <c r="M23" s="40" t="s">
        <v>115</v>
      </c>
      <c r="N23" s="40" t="s">
        <v>114</v>
      </c>
      <c r="O23" s="40" t="s">
        <v>115</v>
      </c>
      <c r="P23" s="39" t="s">
        <v>114</v>
      </c>
      <c r="Q23" s="40" t="s">
        <v>114</v>
      </c>
      <c r="R23" s="40" t="s">
        <v>114</v>
      </c>
      <c r="S23" s="40" t="s">
        <v>114</v>
      </c>
      <c r="T23" s="40" t="s">
        <v>114</v>
      </c>
    </row>
    <row r="24" spans="1:20"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20" s="38" customFormat="1" x14ac:dyDescent="0.25">
      <c r="A25" s="42"/>
      <c r="B25" s="43"/>
      <c r="C25" s="43"/>
      <c r="D25" s="44"/>
      <c r="E25" s="44"/>
      <c r="F25" s="44"/>
      <c r="G25" s="44"/>
      <c r="H25" s="44"/>
      <c r="I25" s="44"/>
      <c r="J25" s="45"/>
      <c r="K25" s="45"/>
      <c r="L25" s="45"/>
      <c r="M25" s="46"/>
      <c r="N25" s="46"/>
      <c r="O25" s="46"/>
      <c r="P25" s="45"/>
      <c r="Q25" s="43"/>
      <c r="R25" s="44"/>
      <c r="S25" s="43"/>
      <c r="T25" s="43"/>
    </row>
    <row r="26" spans="1:20" s="38" customFormat="1" x14ac:dyDescent="0.25">
      <c r="A26" s="42"/>
      <c r="B26" s="44"/>
      <c r="C26" s="44"/>
      <c r="D26" s="44"/>
      <c r="E26" s="44"/>
      <c r="F26" s="44"/>
      <c r="G26" s="44"/>
      <c r="H26" s="44"/>
      <c r="I26" s="44"/>
      <c r="J26" s="45"/>
      <c r="K26" s="45"/>
      <c r="L26" s="45"/>
      <c r="M26" s="46"/>
      <c r="N26" s="46"/>
      <c r="O26" s="46"/>
      <c r="P26" s="45"/>
      <c r="Q26" s="43"/>
      <c r="R26" s="44"/>
      <c r="S26" s="43"/>
      <c r="T26" s="44"/>
    </row>
    <row r="27" spans="1:20" s="38" customFormat="1" x14ac:dyDescent="0.25">
      <c r="A27" s="42"/>
      <c r="B27" s="44"/>
      <c r="C27" s="44"/>
      <c r="D27" s="44"/>
      <c r="E27" s="44"/>
      <c r="F27" s="44"/>
      <c r="G27" s="44"/>
      <c r="H27" s="44"/>
      <c r="I27" s="44"/>
      <c r="J27" s="45"/>
      <c r="K27" s="45"/>
      <c r="L27" s="45"/>
      <c r="M27" s="46"/>
      <c r="N27" s="46"/>
      <c r="O27" s="46"/>
      <c r="P27" s="45"/>
      <c r="Q27" s="43"/>
      <c r="R27" s="44"/>
      <c r="S27" s="43"/>
      <c r="T27" s="44"/>
    </row>
    <row r="28" spans="1:20" s="38" customFormat="1" x14ac:dyDescent="0.25">
      <c r="A28" s="42"/>
      <c r="B28" s="44"/>
      <c r="C28" s="44"/>
      <c r="D28" s="44"/>
      <c r="E28" s="44"/>
      <c r="F28" s="44"/>
      <c r="G28" s="44"/>
      <c r="H28" s="44"/>
      <c r="I28" s="44"/>
      <c r="J28" s="45"/>
      <c r="K28" s="45"/>
      <c r="L28" s="45"/>
      <c r="M28" s="46"/>
      <c r="N28" s="46"/>
      <c r="O28" s="46"/>
      <c r="P28" s="45"/>
      <c r="Q28" s="43"/>
      <c r="R28" s="44"/>
      <c r="S28" s="43"/>
      <c r="T28" s="44"/>
    </row>
    <row r="29" spans="1:20" ht="3" customHeight="1" x14ac:dyDescent="0.25"/>
    <row r="30" spans="1:20" s="47" customFormat="1" ht="12.75" x14ac:dyDescent="0.2">
      <c r="B30" s="48"/>
      <c r="C30" s="48"/>
      <c r="K30" s="48"/>
    </row>
    <row r="31" spans="1:20" s="47" customFormat="1" x14ac:dyDescent="0.25">
      <c r="B31" s="37" t="s">
        <v>116</v>
      </c>
      <c r="C31" s="37"/>
      <c r="D31" s="37"/>
      <c r="E31" s="37"/>
      <c r="F31" s="37"/>
      <c r="G31" s="37"/>
      <c r="H31" s="37"/>
      <c r="I31" s="37"/>
      <c r="J31" s="37"/>
      <c r="K31" s="37"/>
      <c r="L31" s="37"/>
      <c r="M31" s="37"/>
      <c r="N31" s="37"/>
      <c r="O31" s="37"/>
      <c r="P31" s="37"/>
      <c r="Q31" s="37"/>
      <c r="R31" s="37"/>
    </row>
    <row r="32" spans="1:20" x14ac:dyDescent="0.25">
      <c r="B32" s="332" t="s">
        <v>117</v>
      </c>
      <c r="C32" s="332"/>
      <c r="D32" s="332"/>
      <c r="E32" s="332"/>
      <c r="F32" s="332"/>
      <c r="G32" s="332"/>
      <c r="H32" s="332"/>
      <c r="I32" s="332"/>
      <c r="J32" s="332"/>
      <c r="K32" s="332"/>
      <c r="L32" s="332"/>
      <c r="M32" s="332"/>
      <c r="N32" s="332"/>
      <c r="O32" s="332"/>
      <c r="P32" s="332"/>
      <c r="Q32" s="332"/>
      <c r="R32" s="332"/>
    </row>
    <row r="34" spans="2:113" x14ac:dyDescent="0.25">
      <c r="B34" s="49" t="s">
        <v>118</v>
      </c>
      <c r="C34" s="49"/>
      <c r="D34" s="49"/>
      <c r="E34" s="49"/>
      <c r="H34" s="49"/>
      <c r="I34" s="49"/>
      <c r="J34" s="49"/>
      <c r="K34" s="49"/>
      <c r="L34" s="49"/>
      <c r="M34" s="49"/>
      <c r="N34" s="49"/>
      <c r="O34" s="49"/>
      <c r="P34" s="49"/>
      <c r="Q34" s="49"/>
      <c r="R34" s="49"/>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9" t="s">
        <v>119</v>
      </c>
      <c r="C35" s="49"/>
      <c r="D35" s="49"/>
      <c r="E35" s="49"/>
      <c r="H35" s="49"/>
      <c r="I35" s="49"/>
      <c r="J35" s="49"/>
      <c r="K35" s="49"/>
      <c r="L35" s="49"/>
      <c r="M35" s="49"/>
      <c r="N35" s="49"/>
      <c r="O35" s="49"/>
      <c r="P35" s="49"/>
      <c r="Q35" s="49"/>
      <c r="R35" s="49"/>
    </row>
    <row r="36" spans="2:113" x14ac:dyDescent="0.25">
      <c r="B36" s="49" t="s">
        <v>120</v>
      </c>
      <c r="C36" s="49"/>
      <c r="D36" s="49"/>
      <c r="E36" s="49"/>
      <c r="H36" s="49"/>
      <c r="I36" s="49"/>
      <c r="J36" s="49"/>
      <c r="K36" s="49"/>
      <c r="L36" s="49"/>
      <c r="M36" s="49"/>
      <c r="N36" s="49"/>
      <c r="O36" s="49"/>
      <c r="P36" s="49"/>
      <c r="Q36" s="49"/>
      <c r="R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49" t="s">
        <v>121</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49" t="s">
        <v>122</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49" t="s">
        <v>123</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49" t="s">
        <v>124</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B41" s="49" t="s">
        <v>125</v>
      </c>
      <c r="C41" s="49"/>
      <c r="D41" s="49"/>
      <c r="E41" s="49"/>
      <c r="H41" s="49"/>
      <c r="I41" s="49"/>
      <c r="J41" s="49"/>
      <c r="K41" s="49"/>
      <c r="L41" s="49"/>
      <c r="M41" s="49"/>
      <c r="N41" s="49"/>
      <c r="O41" s="49"/>
      <c r="P41" s="49"/>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B42" s="49" t="s">
        <v>126</v>
      </c>
      <c r="C42" s="49"/>
      <c r="D42" s="49"/>
      <c r="E42" s="49"/>
      <c r="H42" s="49"/>
      <c r="I42" s="49"/>
      <c r="J42" s="49"/>
      <c r="K42" s="49"/>
      <c r="L42" s="49"/>
      <c r="M42" s="49"/>
      <c r="N42" s="49"/>
      <c r="O42" s="49"/>
      <c r="P42" s="49"/>
      <c r="Q42" s="49"/>
      <c r="R42" s="49"/>
      <c r="S42" s="49"/>
      <c r="T42" s="49"/>
      <c r="U42" s="49"/>
      <c r="V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2:113" x14ac:dyDescent="0.25">
      <c r="B43" s="49" t="s">
        <v>127</v>
      </c>
      <c r="C43" s="49"/>
      <c r="D43" s="49"/>
      <c r="E43" s="49"/>
      <c r="H43" s="49"/>
      <c r="I43" s="49"/>
      <c r="J43" s="49"/>
      <c r="K43" s="49"/>
      <c r="L43" s="49"/>
      <c r="M43" s="49"/>
      <c r="N43" s="49"/>
      <c r="O43" s="49"/>
      <c r="P43" s="49"/>
      <c r="Q43" s="49"/>
      <c r="R43" s="49"/>
      <c r="S43" s="49"/>
      <c r="T43" s="49"/>
      <c r="U43" s="49"/>
      <c r="V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row>
    <row r="44" spans="2:113" x14ac:dyDescent="0.25">
      <c r="Q44" s="49"/>
      <c r="R44" s="49"/>
      <c r="S44" s="49"/>
      <c r="T44" s="49"/>
      <c r="U44" s="49"/>
      <c r="V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38"/>
      <c r="CO44" s="38"/>
      <c r="CP44" s="38"/>
      <c r="CQ44" s="38"/>
      <c r="CR44" s="38"/>
      <c r="CS44" s="38"/>
      <c r="CT44" s="38"/>
      <c r="CU44" s="38"/>
      <c r="CV44" s="38"/>
      <c r="CW44" s="38"/>
      <c r="CX44" s="38"/>
      <c r="CY44" s="38"/>
      <c r="CZ44" s="38"/>
      <c r="DA44" s="38"/>
      <c r="DB44" s="38"/>
      <c r="DC44" s="38"/>
      <c r="DD44" s="38"/>
      <c r="DE44" s="38"/>
      <c r="DF44" s="38"/>
      <c r="DG44" s="38"/>
      <c r="DH44" s="38"/>
      <c r="DI44" s="38"/>
    </row>
    <row r="45" spans="2:113" x14ac:dyDescent="0.25">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row>
  </sheetData>
  <mergeCells count="27">
    <mergeCell ref="B32:R32"/>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0" zoomScale="80" workbookViewId="0">
      <selection activeCell="M25" sqref="M25"/>
    </sheetView>
  </sheetViews>
  <sheetFormatPr defaultColWidth="10.7109375" defaultRowHeight="15.75" x14ac:dyDescent="0.25"/>
  <cols>
    <col min="1" max="1" width="10.7109375" style="37"/>
    <col min="2" max="3" width="10.5703125" style="37" customWidth="1"/>
    <col min="4" max="4" width="11.5703125" style="37" customWidth="1"/>
    <col min="5" max="5" width="14"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8.7109375" style="37" customWidth="1"/>
    <col min="23" max="23" width="10.855468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09" t="str">
        <f>'1. паспорт местоположение'!A5:C5</f>
        <v>Год раскрытия информации: 2025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0" t="s">
        <v>4</v>
      </c>
      <c r="F7" s="310"/>
      <c r="G7" s="310"/>
      <c r="H7" s="310"/>
      <c r="I7" s="310"/>
      <c r="J7" s="310"/>
      <c r="K7" s="310"/>
      <c r="L7" s="310"/>
      <c r="M7" s="310"/>
      <c r="N7" s="310"/>
      <c r="O7" s="310"/>
      <c r="P7" s="310"/>
      <c r="Q7" s="310"/>
      <c r="R7" s="310"/>
      <c r="S7" s="310"/>
      <c r="T7" s="310"/>
      <c r="U7" s="310"/>
      <c r="V7" s="310"/>
      <c r="W7" s="310"/>
      <c r="X7" s="310"/>
      <c r="Y7" s="310"/>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22" t="str">
        <f>'1. паспорт местоположение'!A9</f>
        <v>Акционерное общество "Россети Янтарь" ДЗО  ПАО "Россети"</v>
      </c>
      <c r="F9" s="322"/>
      <c r="G9" s="322"/>
      <c r="H9" s="322"/>
      <c r="I9" s="322"/>
      <c r="J9" s="322"/>
      <c r="K9" s="322"/>
      <c r="L9" s="322"/>
      <c r="M9" s="322"/>
      <c r="N9" s="322"/>
      <c r="O9" s="322"/>
      <c r="P9" s="322"/>
      <c r="Q9" s="322"/>
      <c r="R9" s="322"/>
      <c r="S9" s="322"/>
      <c r="T9" s="322"/>
      <c r="U9" s="322"/>
      <c r="V9" s="322"/>
      <c r="W9" s="322"/>
      <c r="X9" s="322"/>
      <c r="Y9" s="322"/>
    </row>
    <row r="10" spans="1:27" s="2" customFormat="1" ht="18.75" customHeight="1" x14ac:dyDescent="0.2">
      <c r="E10" s="312" t="s">
        <v>6</v>
      </c>
      <c r="F10" s="312"/>
      <c r="G10" s="312"/>
      <c r="H10" s="312"/>
      <c r="I10" s="312"/>
      <c r="J10" s="312"/>
      <c r="K10" s="312"/>
      <c r="L10" s="312"/>
      <c r="M10" s="312"/>
      <c r="N10" s="312"/>
      <c r="O10" s="312"/>
      <c r="P10" s="312"/>
      <c r="Q10" s="312"/>
      <c r="R10" s="312"/>
      <c r="S10" s="312"/>
      <c r="T10" s="312"/>
      <c r="U10" s="312"/>
      <c r="V10" s="312"/>
      <c r="W10" s="312"/>
      <c r="X10" s="312"/>
      <c r="Y10" s="312"/>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22" t="str">
        <f>'1. паспорт местоположение'!A12</f>
        <v>H_16-0403</v>
      </c>
      <c r="F12" s="322"/>
      <c r="G12" s="322"/>
      <c r="H12" s="322"/>
      <c r="I12" s="322"/>
      <c r="J12" s="322"/>
      <c r="K12" s="322"/>
      <c r="L12" s="322"/>
      <c r="M12" s="322"/>
      <c r="N12" s="322"/>
      <c r="O12" s="322"/>
      <c r="P12" s="322"/>
      <c r="Q12" s="322"/>
      <c r="R12" s="322"/>
      <c r="S12" s="322"/>
      <c r="T12" s="322"/>
      <c r="U12" s="322"/>
      <c r="V12" s="322"/>
      <c r="W12" s="322"/>
      <c r="X12" s="322"/>
      <c r="Y12" s="322"/>
    </row>
    <row r="13" spans="1:27" s="2" customFormat="1" ht="18.75" customHeight="1" x14ac:dyDescent="0.2">
      <c r="E13" s="312" t="s">
        <v>8</v>
      </c>
      <c r="F13" s="312"/>
      <c r="G13" s="312"/>
      <c r="H13" s="312"/>
      <c r="I13" s="312"/>
      <c r="J13" s="312"/>
      <c r="K13" s="312"/>
      <c r="L13" s="312"/>
      <c r="M13" s="312"/>
      <c r="N13" s="312"/>
      <c r="O13" s="312"/>
      <c r="P13" s="312"/>
      <c r="Q13" s="312"/>
      <c r="R13" s="312"/>
      <c r="S13" s="312"/>
      <c r="T13" s="312"/>
      <c r="U13" s="312"/>
      <c r="V13" s="312"/>
      <c r="W13" s="312"/>
      <c r="X13" s="312"/>
      <c r="Y13" s="312"/>
    </row>
    <row r="14" spans="1:27" s="2"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ht="12" x14ac:dyDescent="0.2">
      <c r="E15" s="322"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F15" s="322"/>
      <c r="G15" s="322"/>
      <c r="H15" s="322"/>
      <c r="I15" s="322"/>
      <c r="J15" s="322"/>
      <c r="K15" s="322"/>
      <c r="L15" s="322"/>
      <c r="M15" s="322"/>
      <c r="N15" s="322"/>
      <c r="O15" s="322"/>
      <c r="P15" s="322"/>
      <c r="Q15" s="322"/>
      <c r="R15" s="322"/>
      <c r="S15" s="322"/>
      <c r="T15" s="322"/>
      <c r="U15" s="322"/>
      <c r="V15" s="322"/>
      <c r="W15" s="322"/>
      <c r="X15" s="322"/>
      <c r="Y15" s="322"/>
    </row>
    <row r="16" spans="1:27" s="15" customFormat="1" ht="15" customHeight="1" x14ac:dyDescent="0.2">
      <c r="E16" s="312" t="s">
        <v>10</v>
      </c>
      <c r="F16" s="312"/>
      <c r="G16" s="312"/>
      <c r="H16" s="312"/>
      <c r="I16" s="312"/>
      <c r="J16" s="312"/>
      <c r="K16" s="312"/>
      <c r="L16" s="312"/>
      <c r="M16" s="312"/>
      <c r="N16" s="312"/>
      <c r="O16" s="312"/>
      <c r="P16" s="312"/>
      <c r="Q16" s="312"/>
      <c r="R16" s="312"/>
      <c r="S16" s="312"/>
      <c r="T16" s="312"/>
      <c r="U16" s="312"/>
      <c r="V16" s="312"/>
      <c r="W16" s="312"/>
      <c r="X16" s="312"/>
      <c r="Y16" s="312"/>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128</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38" customFormat="1" ht="21" customHeight="1" x14ac:dyDescent="0.25"/>
    <row r="21" spans="1:27" ht="15.75" customHeight="1" x14ac:dyDescent="0.25">
      <c r="A21" s="341" t="s">
        <v>12</v>
      </c>
      <c r="B21" s="337" t="s">
        <v>129</v>
      </c>
      <c r="C21" s="338"/>
      <c r="D21" s="337" t="s">
        <v>130</v>
      </c>
      <c r="E21" s="338"/>
      <c r="F21" s="330" t="s">
        <v>86</v>
      </c>
      <c r="G21" s="331"/>
      <c r="H21" s="331"/>
      <c r="I21" s="344"/>
      <c r="J21" s="341" t="s">
        <v>131</v>
      </c>
      <c r="K21" s="337" t="s">
        <v>132</v>
      </c>
      <c r="L21" s="338"/>
      <c r="M21" s="337" t="s">
        <v>133</v>
      </c>
      <c r="N21" s="338"/>
      <c r="O21" s="337" t="s">
        <v>134</v>
      </c>
      <c r="P21" s="338"/>
      <c r="Q21" s="337" t="s">
        <v>135</v>
      </c>
      <c r="R21" s="338"/>
      <c r="S21" s="341" t="s">
        <v>136</v>
      </c>
      <c r="T21" s="341" t="s">
        <v>137</v>
      </c>
      <c r="U21" s="341" t="s">
        <v>138</v>
      </c>
      <c r="V21" s="337" t="s">
        <v>139</v>
      </c>
      <c r="W21" s="338"/>
      <c r="X21" s="330" t="s">
        <v>108</v>
      </c>
      <c r="Y21" s="331"/>
      <c r="Z21" s="330" t="s">
        <v>109</v>
      </c>
      <c r="AA21" s="331"/>
    </row>
    <row r="22" spans="1:27" ht="154.5" customHeight="1" x14ac:dyDescent="0.25">
      <c r="A22" s="342"/>
      <c r="B22" s="339"/>
      <c r="C22" s="340"/>
      <c r="D22" s="339"/>
      <c r="E22" s="340"/>
      <c r="F22" s="330" t="s">
        <v>140</v>
      </c>
      <c r="G22" s="344"/>
      <c r="H22" s="330" t="s">
        <v>141</v>
      </c>
      <c r="I22" s="344"/>
      <c r="J22" s="343"/>
      <c r="K22" s="339"/>
      <c r="L22" s="340"/>
      <c r="M22" s="339"/>
      <c r="N22" s="340"/>
      <c r="O22" s="339"/>
      <c r="P22" s="340"/>
      <c r="Q22" s="339"/>
      <c r="R22" s="340"/>
      <c r="S22" s="343"/>
      <c r="T22" s="343"/>
      <c r="U22" s="343"/>
      <c r="V22" s="339"/>
      <c r="W22" s="340"/>
      <c r="X22" s="40" t="s">
        <v>110</v>
      </c>
      <c r="Y22" s="40" t="s">
        <v>111</v>
      </c>
      <c r="Z22" s="40" t="s">
        <v>112</v>
      </c>
      <c r="AA22" s="40" t="s">
        <v>113</v>
      </c>
    </row>
    <row r="23" spans="1:27" ht="60" customHeight="1" x14ac:dyDescent="0.25">
      <c r="A23" s="343"/>
      <c r="B23" s="39" t="s">
        <v>114</v>
      </c>
      <c r="C23" s="39" t="s">
        <v>115</v>
      </c>
      <c r="D23" s="39" t="s">
        <v>114</v>
      </c>
      <c r="E23" s="39" t="s">
        <v>115</v>
      </c>
      <c r="F23" s="39" t="s">
        <v>114</v>
      </c>
      <c r="G23" s="39" t="s">
        <v>115</v>
      </c>
      <c r="H23" s="39" t="s">
        <v>114</v>
      </c>
      <c r="I23" s="39" t="s">
        <v>115</v>
      </c>
      <c r="J23" s="39" t="s">
        <v>114</v>
      </c>
      <c r="K23" s="39" t="s">
        <v>114</v>
      </c>
      <c r="L23" s="39" t="s">
        <v>115</v>
      </c>
      <c r="M23" s="39" t="s">
        <v>114</v>
      </c>
      <c r="N23" s="39" t="s">
        <v>115</v>
      </c>
      <c r="O23" s="39" t="s">
        <v>114</v>
      </c>
      <c r="P23" s="39" t="s">
        <v>115</v>
      </c>
      <c r="Q23" s="39" t="s">
        <v>114</v>
      </c>
      <c r="R23" s="39" t="s">
        <v>115</v>
      </c>
      <c r="S23" s="39" t="s">
        <v>114</v>
      </c>
      <c r="T23" s="39" t="s">
        <v>114</v>
      </c>
      <c r="U23" s="39" t="s">
        <v>114</v>
      </c>
      <c r="V23" s="39" t="s">
        <v>114</v>
      </c>
      <c r="W23" s="39" t="s">
        <v>115</v>
      </c>
      <c r="X23" s="39" t="s">
        <v>114</v>
      </c>
      <c r="Y23" s="39" t="s">
        <v>114</v>
      </c>
      <c r="Z23" s="40" t="s">
        <v>114</v>
      </c>
      <c r="AA23" s="40" t="s">
        <v>114</v>
      </c>
    </row>
    <row r="24" spans="1:27"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52" customFormat="1" ht="78.75" x14ac:dyDescent="0.25">
      <c r="A25" s="53">
        <v>1</v>
      </c>
      <c r="B25" s="53" t="s">
        <v>142</v>
      </c>
      <c r="C25" s="53" t="s">
        <v>142</v>
      </c>
      <c r="D25" s="53" t="s">
        <v>143</v>
      </c>
      <c r="E25" s="53" t="s">
        <v>143</v>
      </c>
      <c r="F25" s="53">
        <v>15</v>
      </c>
      <c r="G25" s="53">
        <v>15</v>
      </c>
      <c r="H25" s="53">
        <v>15</v>
      </c>
      <c r="I25" s="53">
        <v>15</v>
      </c>
      <c r="J25" s="53">
        <v>1956</v>
      </c>
      <c r="K25" s="53">
        <v>1</v>
      </c>
      <c r="L25" s="54">
        <v>1</v>
      </c>
      <c r="M25" s="53">
        <v>50</v>
      </c>
      <c r="N25" s="54">
        <v>70</v>
      </c>
      <c r="O25" s="53" t="s">
        <v>144</v>
      </c>
      <c r="P25" s="54" t="s">
        <v>144</v>
      </c>
      <c r="Q25" s="55">
        <v>7.0629999999999997</v>
      </c>
      <c r="R25" s="56">
        <v>7.0629999999999997</v>
      </c>
      <c r="S25" s="53" t="s">
        <v>97</v>
      </c>
      <c r="T25" s="53">
        <v>2016</v>
      </c>
      <c r="U25" s="53">
        <v>10</v>
      </c>
      <c r="V25" s="46" t="s">
        <v>145</v>
      </c>
      <c r="W25" s="46" t="s">
        <v>145</v>
      </c>
      <c r="X25" s="54" t="s">
        <v>146</v>
      </c>
      <c r="Y25" s="54" t="s">
        <v>147</v>
      </c>
      <c r="Z25" s="54" t="s">
        <v>148</v>
      </c>
      <c r="AA25" s="54" t="s">
        <v>149</v>
      </c>
    </row>
    <row r="26" spans="1:27" s="47" customFormat="1" ht="12.75" customHeight="1" x14ac:dyDescent="0.2">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row>
    <row r="27" spans="1:27" x14ac:dyDescent="0.25">
      <c r="Q27" s="37">
        <f>SUM(Q25:Q25)</f>
        <v>7.0629999999999997</v>
      </c>
      <c r="R27" s="37">
        <f>SUM(R25:R25)</f>
        <v>7.0629999999999997</v>
      </c>
      <c r="S27" s="37">
        <f>R27-Q27</f>
        <v>0</v>
      </c>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52"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3" zoomScale="8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09" t="str">
        <f>'1. паспорт местоположение'!A5:C5</f>
        <v>Год раскрытия информации: 2025 год</v>
      </c>
      <c r="B5" s="309"/>
      <c r="C5" s="309"/>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2" customFormat="1" ht="18.75" x14ac:dyDescent="0.3">
      <c r="A6" s="6"/>
      <c r="G6" s="5"/>
    </row>
    <row r="7" spans="1:29" s="2" customFormat="1" ht="18.75" x14ac:dyDescent="0.2">
      <c r="A7" s="310" t="s">
        <v>4</v>
      </c>
      <c r="B7" s="310"/>
      <c r="C7" s="310"/>
      <c r="D7" s="10"/>
      <c r="E7" s="10"/>
      <c r="F7" s="10"/>
      <c r="G7" s="10"/>
      <c r="H7" s="10"/>
      <c r="I7" s="10"/>
      <c r="J7" s="10"/>
      <c r="K7" s="10"/>
      <c r="L7" s="10"/>
      <c r="M7" s="10"/>
      <c r="N7" s="10"/>
      <c r="O7" s="10"/>
      <c r="P7" s="10"/>
      <c r="Q7" s="10"/>
      <c r="R7" s="10"/>
      <c r="S7" s="10"/>
      <c r="T7" s="10"/>
      <c r="U7" s="10"/>
    </row>
    <row r="8" spans="1:29" s="2" customFormat="1" ht="18.75" x14ac:dyDescent="0.2">
      <c r="A8" s="310"/>
      <c r="B8" s="310"/>
      <c r="C8" s="310"/>
      <c r="D8" s="9"/>
      <c r="E8" s="9"/>
      <c r="F8" s="9"/>
      <c r="G8" s="9"/>
      <c r="H8" s="10"/>
      <c r="I8" s="10"/>
      <c r="J8" s="10"/>
      <c r="K8" s="10"/>
      <c r="L8" s="10"/>
      <c r="M8" s="10"/>
      <c r="N8" s="10"/>
      <c r="O8" s="10"/>
      <c r="P8" s="10"/>
      <c r="Q8" s="10"/>
      <c r="R8" s="10"/>
      <c r="S8" s="10"/>
      <c r="T8" s="10"/>
      <c r="U8" s="10"/>
    </row>
    <row r="9" spans="1:29" s="2" customFormat="1" ht="18.75" x14ac:dyDescent="0.2">
      <c r="A9" s="322" t="str">
        <f>'1. паспорт местоположение'!A9:C9</f>
        <v>Акционерное общество "Россети Янтарь" ДЗО  ПАО "Россети"</v>
      </c>
      <c r="B9" s="322"/>
      <c r="C9" s="322"/>
      <c r="D9" s="11"/>
      <c r="E9" s="11"/>
      <c r="F9" s="11"/>
      <c r="G9" s="11"/>
      <c r="H9" s="10"/>
      <c r="I9" s="10"/>
      <c r="J9" s="10"/>
      <c r="K9" s="10"/>
      <c r="L9" s="10"/>
      <c r="M9" s="10"/>
      <c r="N9" s="10"/>
      <c r="O9" s="10"/>
      <c r="P9" s="10"/>
      <c r="Q9" s="10"/>
      <c r="R9" s="10"/>
      <c r="S9" s="10"/>
      <c r="T9" s="10"/>
      <c r="U9" s="10"/>
    </row>
    <row r="10" spans="1:29" s="2" customFormat="1" ht="18.75" x14ac:dyDescent="0.2">
      <c r="A10" s="312" t="s">
        <v>6</v>
      </c>
      <c r="B10" s="312"/>
      <c r="C10" s="312"/>
      <c r="D10" s="12"/>
      <c r="E10" s="12"/>
      <c r="F10" s="12"/>
      <c r="G10" s="12"/>
      <c r="H10" s="10"/>
      <c r="I10" s="10"/>
      <c r="J10" s="10"/>
      <c r="K10" s="10"/>
      <c r="L10" s="10"/>
      <c r="M10" s="10"/>
      <c r="N10" s="10"/>
      <c r="O10" s="10"/>
      <c r="P10" s="10"/>
      <c r="Q10" s="10"/>
      <c r="R10" s="10"/>
      <c r="S10" s="10"/>
      <c r="T10" s="10"/>
      <c r="U10" s="10"/>
    </row>
    <row r="11" spans="1:29" s="2" customFormat="1" ht="18.75" x14ac:dyDescent="0.2">
      <c r="A11" s="310"/>
      <c r="B11" s="310"/>
      <c r="C11" s="310"/>
      <c r="D11" s="9"/>
      <c r="E11" s="9"/>
      <c r="F11" s="9"/>
      <c r="G11" s="9"/>
      <c r="H11" s="10"/>
      <c r="I11" s="10"/>
      <c r="J11" s="10"/>
      <c r="K11" s="10"/>
      <c r="L11" s="10"/>
      <c r="M11" s="10"/>
      <c r="N11" s="10"/>
      <c r="O11" s="10"/>
      <c r="P11" s="10"/>
      <c r="Q11" s="10"/>
      <c r="R11" s="10"/>
      <c r="S11" s="10"/>
      <c r="T11" s="10"/>
      <c r="U11" s="10"/>
    </row>
    <row r="12" spans="1:29" s="2" customFormat="1" ht="18.75" x14ac:dyDescent="0.2">
      <c r="A12" s="322" t="str">
        <f>'1. паспорт местоположение'!A12:C12</f>
        <v>H_16-0403</v>
      </c>
      <c r="B12" s="322"/>
      <c r="C12" s="322"/>
      <c r="D12" s="11"/>
      <c r="E12" s="11"/>
      <c r="F12" s="11"/>
      <c r="G12" s="11"/>
      <c r="H12" s="10"/>
      <c r="I12" s="10"/>
      <c r="J12" s="10"/>
      <c r="K12" s="10"/>
      <c r="L12" s="10"/>
      <c r="M12" s="10"/>
      <c r="N12" s="10"/>
      <c r="O12" s="10"/>
      <c r="P12" s="10"/>
      <c r="Q12" s="10"/>
      <c r="R12" s="10"/>
      <c r="S12" s="10"/>
      <c r="T12" s="10"/>
      <c r="U12" s="10"/>
    </row>
    <row r="13" spans="1:29" s="2" customFormat="1" ht="18.75" x14ac:dyDescent="0.2">
      <c r="A13" s="312" t="s">
        <v>8</v>
      </c>
      <c r="B13" s="312"/>
      <c r="C13" s="312"/>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23"/>
      <c r="B14" s="323"/>
      <c r="C14" s="323"/>
      <c r="D14" s="14"/>
      <c r="E14" s="14"/>
      <c r="F14" s="14"/>
      <c r="G14" s="14"/>
      <c r="H14" s="14"/>
      <c r="I14" s="14"/>
      <c r="J14" s="14"/>
      <c r="K14" s="14"/>
      <c r="L14" s="14"/>
      <c r="M14" s="14"/>
      <c r="N14" s="14"/>
      <c r="O14" s="14"/>
      <c r="P14" s="14"/>
      <c r="Q14" s="14"/>
      <c r="R14" s="14"/>
      <c r="S14" s="14"/>
      <c r="T14" s="14"/>
      <c r="U14" s="14"/>
    </row>
    <row r="15" spans="1:29" s="15" customFormat="1" ht="12" x14ac:dyDescent="0.2">
      <c r="A15" s="345"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345"/>
      <c r="C15" s="345"/>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12" t="s">
        <v>10</v>
      </c>
      <c r="B16" s="312"/>
      <c r="C16" s="312"/>
      <c r="D16" s="12"/>
      <c r="E16" s="12"/>
      <c r="F16" s="12"/>
      <c r="G16" s="12"/>
      <c r="H16" s="12"/>
      <c r="I16" s="12"/>
      <c r="J16" s="12"/>
      <c r="K16" s="12"/>
      <c r="L16" s="12"/>
      <c r="M16" s="12"/>
      <c r="N16" s="12"/>
      <c r="O16" s="12"/>
      <c r="P16" s="12"/>
      <c r="Q16" s="12"/>
      <c r="R16" s="12"/>
      <c r="S16" s="12"/>
      <c r="T16" s="12"/>
      <c r="U16" s="12"/>
    </row>
    <row r="17" spans="1:21" s="15" customFormat="1" ht="15" customHeight="1" x14ac:dyDescent="0.2">
      <c r="A17" s="323"/>
      <c r="B17" s="323"/>
      <c r="C17" s="323"/>
      <c r="D17" s="14"/>
      <c r="E17" s="14"/>
      <c r="F17" s="14"/>
      <c r="G17" s="14"/>
      <c r="H17" s="14"/>
      <c r="I17" s="14"/>
      <c r="J17" s="14"/>
      <c r="K17" s="14"/>
      <c r="L17" s="14"/>
      <c r="M17" s="14"/>
      <c r="N17" s="14"/>
      <c r="O17" s="14"/>
      <c r="P17" s="14"/>
      <c r="Q17" s="14"/>
      <c r="R17" s="14"/>
    </row>
    <row r="18" spans="1:21" s="15" customFormat="1" ht="27.75" customHeight="1" x14ac:dyDescent="0.2">
      <c r="A18" s="320" t="s">
        <v>150</v>
      </c>
      <c r="B18" s="320"/>
      <c r="C18" s="320"/>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2"/>
      <c r="B19" s="12"/>
      <c r="C19" s="12"/>
      <c r="D19" s="12"/>
      <c r="E19" s="12"/>
      <c r="F19" s="12"/>
      <c r="G19" s="12"/>
      <c r="H19" s="14"/>
      <c r="I19" s="14"/>
      <c r="J19" s="14"/>
      <c r="K19" s="14"/>
      <c r="L19" s="14"/>
      <c r="M19" s="14"/>
      <c r="N19" s="14"/>
      <c r="O19" s="14"/>
      <c r="P19" s="14"/>
      <c r="Q19" s="14"/>
      <c r="R19" s="14"/>
    </row>
    <row r="20" spans="1:21" s="15" customFormat="1" ht="39.75" customHeight="1" x14ac:dyDescent="0.2">
      <c r="A20" s="17" t="s">
        <v>12</v>
      </c>
      <c r="B20" s="18" t="s">
        <v>13</v>
      </c>
      <c r="C20" s="19" t="s">
        <v>14</v>
      </c>
      <c r="D20" s="12"/>
      <c r="E20" s="12"/>
      <c r="F20" s="12"/>
      <c r="G20" s="12"/>
      <c r="H20" s="14"/>
      <c r="I20" s="14"/>
      <c r="J20" s="14"/>
      <c r="K20" s="14"/>
      <c r="L20" s="14"/>
      <c r="M20" s="14"/>
      <c r="N20" s="14"/>
      <c r="O20" s="14"/>
      <c r="P20" s="14"/>
      <c r="Q20" s="14"/>
      <c r="R20" s="14"/>
    </row>
    <row r="21" spans="1:21" s="15" customFormat="1" ht="16.5" customHeight="1" x14ac:dyDescent="0.2">
      <c r="A21" s="19">
        <v>1</v>
      </c>
      <c r="B21" s="18">
        <v>2</v>
      </c>
      <c r="C21" s="19">
        <v>3</v>
      </c>
      <c r="D21" s="12"/>
      <c r="E21" s="12"/>
      <c r="F21" s="12"/>
      <c r="G21" s="12"/>
      <c r="H21" s="14"/>
      <c r="I21" s="14"/>
      <c r="J21" s="14"/>
      <c r="K21" s="14"/>
      <c r="L21" s="14"/>
      <c r="M21" s="14"/>
      <c r="N21" s="14"/>
      <c r="O21" s="14"/>
      <c r="P21" s="14"/>
      <c r="Q21" s="14"/>
      <c r="R21" s="14"/>
    </row>
    <row r="22" spans="1:21" s="15" customFormat="1" ht="69" customHeight="1" x14ac:dyDescent="0.2">
      <c r="A22" s="20" t="s">
        <v>15</v>
      </c>
      <c r="B22" s="58" t="s">
        <v>151</v>
      </c>
      <c r="C22" s="59" t="s">
        <v>152</v>
      </c>
      <c r="D22" s="12"/>
      <c r="E22" s="12"/>
      <c r="F22" s="14"/>
      <c r="G22" s="14"/>
      <c r="H22" s="14"/>
      <c r="I22" s="14"/>
      <c r="J22" s="14"/>
      <c r="K22" s="14"/>
      <c r="L22" s="14"/>
      <c r="M22" s="14"/>
      <c r="N22" s="14"/>
      <c r="O22" s="14"/>
      <c r="P22" s="14"/>
    </row>
    <row r="23" spans="1:21" ht="126" x14ac:dyDescent="0.25">
      <c r="A23" s="20" t="s">
        <v>18</v>
      </c>
      <c r="B23" s="23" t="s">
        <v>153</v>
      </c>
      <c r="C23" s="17" t="s">
        <v>154</v>
      </c>
    </row>
    <row r="24" spans="1:21" ht="90" customHeight="1" x14ac:dyDescent="0.25">
      <c r="A24" s="20" t="s">
        <v>21</v>
      </c>
      <c r="B24" s="23" t="s">
        <v>155</v>
      </c>
      <c r="C24" s="60" t="s">
        <v>156</v>
      </c>
    </row>
    <row r="25" spans="1:21" ht="63" customHeight="1" x14ac:dyDescent="0.25">
      <c r="A25" s="20" t="s">
        <v>24</v>
      </c>
      <c r="B25" s="23" t="s">
        <v>157</v>
      </c>
      <c r="C25" s="17" t="s">
        <v>158</v>
      </c>
    </row>
    <row r="26" spans="1:21" ht="42.75" customHeight="1" x14ac:dyDescent="0.25">
      <c r="A26" s="20" t="s">
        <v>27</v>
      </c>
      <c r="B26" s="23" t="s">
        <v>159</v>
      </c>
      <c r="C26" s="17" t="s">
        <v>61</v>
      </c>
    </row>
    <row r="27" spans="1:21" ht="157.5" x14ac:dyDescent="0.25">
      <c r="A27" s="20" t="s">
        <v>30</v>
      </c>
      <c r="B27" s="23" t="s">
        <v>160</v>
      </c>
      <c r="C27" s="17" t="s">
        <v>161</v>
      </c>
    </row>
    <row r="28" spans="1:21" ht="42.75" customHeight="1" x14ac:dyDescent="0.25">
      <c r="A28" s="20" t="s">
        <v>33</v>
      </c>
      <c r="B28" s="23" t="s">
        <v>162</v>
      </c>
      <c r="C28" s="22">
        <v>2019</v>
      </c>
    </row>
    <row r="29" spans="1:21" ht="42.75" customHeight="1" x14ac:dyDescent="0.25">
      <c r="A29" s="20" t="s">
        <v>35</v>
      </c>
      <c r="B29" s="17" t="s">
        <v>163</v>
      </c>
      <c r="C29" s="22">
        <v>2025</v>
      </c>
    </row>
    <row r="30" spans="1:21" ht="42.75" customHeight="1" x14ac:dyDescent="0.25">
      <c r="A30" s="20" t="s">
        <v>37</v>
      </c>
      <c r="B30" s="17" t="s">
        <v>164</v>
      </c>
      <c r="C30" s="17" t="s">
        <v>165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5"/>
  <sheetViews>
    <sheetView view="pageBreakPreview" topLeftCell="A16" zoomScale="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8.5703125" customWidth="1"/>
    <col min="23" max="24" width="17.7109375" customWidth="1"/>
    <col min="25" max="25" width="40.2851562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09" t="str">
        <f>'1. паспорт местоположение'!A5:C5</f>
        <v>Год раскрытия информации: 2025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10" t="s">
        <v>4</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0"/>
      <c r="AB6" s="10"/>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0"/>
      <c r="AB7" s="10"/>
    </row>
    <row r="8" spans="1:28" x14ac:dyDescent="0.25">
      <c r="A8" s="322" t="str">
        <f>'1. паспорт местоположение'!A9</f>
        <v>Акционерное общество "Россети Янтарь" ДЗО  ПАО "Россети"</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11"/>
      <c r="AB8" s="11"/>
    </row>
    <row r="9" spans="1:28" ht="15.75" x14ac:dyDescent="0.25">
      <c r="A9" s="312" t="s">
        <v>6</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12"/>
      <c r="AB9" s="12"/>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0"/>
      <c r="AB10" s="10"/>
    </row>
    <row r="11" spans="1:28" x14ac:dyDescent="0.25">
      <c r="A11" s="322" t="str">
        <f>'1. паспорт местоположение'!A12:C12</f>
        <v>H_16-0403</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11"/>
      <c r="AB11" s="11"/>
    </row>
    <row r="12" spans="1:28" ht="15.75" x14ac:dyDescent="0.25">
      <c r="A12" s="312" t="s">
        <v>8</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12"/>
      <c r="AB12" s="12"/>
    </row>
    <row r="13" spans="1:28" ht="18.75" x14ac:dyDescent="0.25">
      <c r="A13" s="323"/>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61"/>
      <c r="AB13" s="61"/>
    </row>
    <row r="14" spans="1:28" x14ac:dyDescent="0.25">
      <c r="A14" s="322"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11"/>
      <c r="AB14" s="11"/>
    </row>
    <row r="15" spans="1:28" ht="15.75" x14ac:dyDescent="0.25">
      <c r="A15" s="312" t="s">
        <v>10</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12"/>
      <c r="AB15" s="12"/>
    </row>
    <row r="16" spans="1:28"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62"/>
      <c r="AB16" s="62"/>
    </row>
    <row r="17" spans="1:2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62"/>
      <c r="AB17" s="62"/>
    </row>
    <row r="18" spans="1:28"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62"/>
      <c r="AB18" s="62"/>
    </row>
    <row r="19" spans="1:2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62"/>
      <c r="AB19" s="6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62"/>
      <c r="AB20" s="6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62"/>
      <c r="AB21" s="62"/>
    </row>
    <row r="22" spans="1:28" x14ac:dyDescent="0.25">
      <c r="A22" s="347" t="s">
        <v>166</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63"/>
      <c r="AB22" s="63"/>
    </row>
    <row r="23" spans="1:28" ht="32.25" customHeight="1" x14ac:dyDescent="0.25">
      <c r="A23" s="348" t="s">
        <v>167</v>
      </c>
      <c r="B23" s="349"/>
      <c r="C23" s="349"/>
      <c r="D23" s="349"/>
      <c r="E23" s="349"/>
      <c r="F23" s="349"/>
      <c r="G23" s="349"/>
      <c r="H23" s="349"/>
      <c r="I23" s="349"/>
      <c r="J23" s="349"/>
      <c r="K23" s="349"/>
      <c r="L23" s="350"/>
      <c r="M23" s="351" t="s">
        <v>168</v>
      </c>
      <c r="N23" s="351"/>
      <c r="O23" s="351"/>
      <c r="P23" s="351"/>
      <c r="Q23" s="351"/>
      <c r="R23" s="351"/>
      <c r="S23" s="351"/>
      <c r="T23" s="351"/>
      <c r="U23" s="351"/>
      <c r="V23" s="351"/>
      <c r="W23" s="351"/>
      <c r="X23" s="351"/>
      <c r="Y23" s="351"/>
      <c r="Z23" s="351"/>
    </row>
    <row r="24" spans="1:28" ht="151.5" customHeight="1" x14ac:dyDescent="0.25">
      <c r="A24" s="64" t="s">
        <v>169</v>
      </c>
      <c r="B24" s="65" t="s">
        <v>170</v>
      </c>
      <c r="C24" s="64" t="s">
        <v>171</v>
      </c>
      <c r="D24" s="64" t="s">
        <v>172</v>
      </c>
      <c r="E24" s="64" t="s">
        <v>173</v>
      </c>
      <c r="F24" s="64" t="s">
        <v>174</v>
      </c>
      <c r="G24" s="64" t="s">
        <v>175</v>
      </c>
      <c r="H24" s="64" t="s">
        <v>176</v>
      </c>
      <c r="I24" s="64" t="s">
        <v>177</v>
      </c>
      <c r="J24" s="64" t="s">
        <v>178</v>
      </c>
      <c r="K24" s="65" t="s">
        <v>179</v>
      </c>
      <c r="L24" s="65" t="s">
        <v>180</v>
      </c>
      <c r="M24" s="66" t="s">
        <v>181</v>
      </c>
      <c r="N24" s="65" t="s">
        <v>182</v>
      </c>
      <c r="O24" s="64" t="s">
        <v>183</v>
      </c>
      <c r="P24" s="64" t="s">
        <v>184</v>
      </c>
      <c r="Q24" s="64" t="s">
        <v>185</v>
      </c>
      <c r="R24" s="64" t="s">
        <v>176</v>
      </c>
      <c r="S24" s="64" t="s">
        <v>186</v>
      </c>
      <c r="T24" s="64" t="s">
        <v>187</v>
      </c>
      <c r="U24" s="64" t="s">
        <v>188</v>
      </c>
      <c r="V24" s="64" t="s">
        <v>185</v>
      </c>
      <c r="W24" s="67" t="s">
        <v>189</v>
      </c>
      <c r="X24" s="67" t="s">
        <v>190</v>
      </c>
      <c r="Y24" s="67" t="s">
        <v>191</v>
      </c>
      <c r="Z24" s="68" t="s">
        <v>192</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60" x14ac:dyDescent="0.25">
      <c r="A26" s="69" t="s">
        <v>193</v>
      </c>
      <c r="B26" s="69" t="s">
        <v>194</v>
      </c>
      <c r="C26" s="70">
        <v>10.583399999999999</v>
      </c>
      <c r="D26" s="70">
        <v>838</v>
      </c>
      <c r="E26" s="70">
        <v>0.99998385000000001</v>
      </c>
      <c r="F26" s="70">
        <v>2347.1102000000001</v>
      </c>
      <c r="G26" s="70">
        <v>2.802167001795</v>
      </c>
      <c r="H26" s="70">
        <v>85140</v>
      </c>
      <c r="I26" s="70">
        <v>2.7567655626027719E-2</v>
      </c>
      <c r="J26" s="70">
        <v>9.8426121681935638E-3</v>
      </c>
      <c r="K26" s="70" t="s">
        <v>195</v>
      </c>
      <c r="L26" s="71"/>
      <c r="M26" s="72">
        <v>2025</v>
      </c>
      <c r="N26" s="70"/>
      <c r="O26" s="71">
        <v>2323.6390980000001</v>
      </c>
      <c r="P26" s="71">
        <v>10.477565999999999</v>
      </c>
      <c r="Q26" s="71">
        <v>1.2306279069767442E-4</v>
      </c>
      <c r="R26" s="71">
        <v>85140</v>
      </c>
      <c r="S26" s="71">
        <v>2.7291979069767443E-2</v>
      </c>
      <c r="T26" s="71">
        <v>9.744186046511628E-3</v>
      </c>
      <c r="U26" s="71"/>
      <c r="V26" s="73">
        <v>1.2306279069767442E-4</v>
      </c>
      <c r="W26" s="73">
        <v>-2.7567655626027599E-4</v>
      </c>
      <c r="X26" s="73">
        <v>-9.8426121681935804E-5</v>
      </c>
      <c r="Y26" s="74" t="s">
        <v>196</v>
      </c>
      <c r="Z26" s="75" t="s">
        <v>197</v>
      </c>
    </row>
    <row r="27" spans="1:28" x14ac:dyDescent="0.25">
      <c r="A27" s="69">
        <v>2015</v>
      </c>
      <c r="B27" s="69" t="s">
        <v>194</v>
      </c>
      <c r="C27" s="70">
        <v>1.0667</v>
      </c>
      <c r="D27" s="70">
        <v>47</v>
      </c>
      <c r="E27" s="70">
        <v>0.26999156000000002</v>
      </c>
      <c r="F27" s="70">
        <v>50.134900000000002</v>
      </c>
      <c r="G27" s="70">
        <v>0.28799999705200002</v>
      </c>
      <c r="H27" s="70">
        <v>85140</v>
      </c>
      <c r="I27" s="70"/>
      <c r="J27" s="70"/>
      <c r="K27" s="70" t="s">
        <v>198</v>
      </c>
      <c r="L27" s="70" t="s">
        <v>199</v>
      </c>
      <c r="M27" s="72"/>
      <c r="N27" s="70"/>
      <c r="O27" s="71"/>
      <c r="P27" s="71"/>
      <c r="Q27" s="71"/>
      <c r="R27" s="71"/>
      <c r="S27" s="71"/>
      <c r="T27" s="71"/>
      <c r="U27" s="71"/>
      <c r="V27" s="71"/>
      <c r="W27" s="71"/>
      <c r="X27" s="71"/>
      <c r="Y27" s="76"/>
      <c r="Z27" s="75"/>
    </row>
    <row r="28" spans="1:28" x14ac:dyDescent="0.25">
      <c r="A28" s="69">
        <v>2015</v>
      </c>
      <c r="B28" s="69" t="s">
        <v>194</v>
      </c>
      <c r="C28" s="70">
        <v>1.1667000000000001</v>
      </c>
      <c r="D28" s="70">
        <v>259</v>
      </c>
      <c r="E28" s="70">
        <v>0.27999229000000003</v>
      </c>
      <c r="F28" s="70">
        <v>302.17529999999999</v>
      </c>
      <c r="G28" s="70">
        <v>0.32666700474300003</v>
      </c>
      <c r="H28" s="70">
        <v>85140</v>
      </c>
      <c r="I28" s="70"/>
      <c r="J28" s="70"/>
      <c r="K28" s="70" t="s">
        <v>200</v>
      </c>
      <c r="L28" s="70" t="s">
        <v>201</v>
      </c>
      <c r="M28" s="70"/>
      <c r="N28" s="70"/>
      <c r="O28" s="70"/>
      <c r="P28" s="70"/>
      <c r="Q28" s="70"/>
      <c r="R28" s="70"/>
      <c r="S28" s="70"/>
      <c r="T28" s="70"/>
      <c r="U28" s="70"/>
      <c r="V28" s="70"/>
      <c r="W28" s="70"/>
      <c r="X28" s="70"/>
      <c r="Y28" s="70"/>
      <c r="Z28" s="77"/>
    </row>
    <row r="29" spans="1:28" x14ac:dyDescent="0.25">
      <c r="A29" s="70">
        <v>2015</v>
      </c>
      <c r="B29" s="69" t="s">
        <v>194</v>
      </c>
      <c r="C29" s="70">
        <v>0.95</v>
      </c>
      <c r="D29" s="70">
        <v>72</v>
      </c>
      <c r="E29" s="70">
        <v>0.05</v>
      </c>
      <c r="F29" s="70">
        <v>68.399999999999991</v>
      </c>
      <c r="G29" s="70">
        <v>4.7500000000000001E-2</v>
      </c>
      <c r="H29" s="70">
        <v>85140</v>
      </c>
      <c r="I29" s="70"/>
      <c r="J29" s="70"/>
      <c r="K29" s="70" t="s">
        <v>202</v>
      </c>
      <c r="L29" s="70" t="s">
        <v>203</v>
      </c>
      <c r="M29" s="70"/>
      <c r="N29" s="70"/>
      <c r="O29" s="70"/>
      <c r="P29" s="70"/>
      <c r="Q29" s="70"/>
      <c r="R29" s="70"/>
      <c r="S29" s="70"/>
      <c r="T29" s="70"/>
      <c r="U29" s="70"/>
      <c r="V29" s="70"/>
      <c r="W29" s="70"/>
      <c r="X29" s="70"/>
      <c r="Y29" s="70"/>
      <c r="Z29" s="78"/>
    </row>
    <row r="30" spans="1:28" x14ac:dyDescent="0.25">
      <c r="A30" s="70">
        <v>2015</v>
      </c>
      <c r="B30" s="69" t="s">
        <v>194</v>
      </c>
      <c r="C30" s="70">
        <v>0.4</v>
      </c>
      <c r="D30" s="70">
        <v>196</v>
      </c>
      <c r="E30" s="70">
        <v>0.1</v>
      </c>
      <c r="F30" s="70">
        <v>78.400000000000006</v>
      </c>
      <c r="G30" s="70">
        <v>4.0000000000000008E-2</v>
      </c>
      <c r="H30" s="70">
        <v>85140</v>
      </c>
      <c r="I30" s="70"/>
      <c r="J30" s="70"/>
      <c r="K30" s="70" t="s">
        <v>204</v>
      </c>
      <c r="L30" s="70" t="s">
        <v>203</v>
      </c>
      <c r="M30" s="72"/>
      <c r="N30" s="70"/>
      <c r="O30" s="71"/>
      <c r="P30" s="71"/>
      <c r="Q30" s="71"/>
      <c r="R30" s="71"/>
      <c r="S30" s="71"/>
      <c r="T30" s="71"/>
      <c r="U30" s="71"/>
      <c r="V30" s="71"/>
      <c r="W30" s="71"/>
      <c r="X30" s="71"/>
      <c r="Y30" s="76"/>
      <c r="Z30" s="75"/>
    </row>
    <row r="31" spans="1:28" x14ac:dyDescent="0.25">
      <c r="A31" s="70">
        <v>2015</v>
      </c>
      <c r="B31" s="69" t="s">
        <v>194</v>
      </c>
      <c r="C31" s="70">
        <v>7</v>
      </c>
      <c r="D31" s="70">
        <v>264</v>
      </c>
      <c r="E31" s="70">
        <v>0.3</v>
      </c>
      <c r="F31" s="70">
        <v>1848</v>
      </c>
      <c r="G31" s="70">
        <v>2.1</v>
      </c>
      <c r="H31" s="70">
        <v>85140</v>
      </c>
      <c r="I31" s="70"/>
      <c r="J31" s="70"/>
      <c r="K31" s="70" t="s">
        <v>205</v>
      </c>
      <c r="L31" s="70" t="s">
        <v>206</v>
      </c>
      <c r="M31" s="70"/>
      <c r="N31" s="70"/>
      <c r="O31" s="70"/>
      <c r="P31" s="70"/>
      <c r="Q31" s="70"/>
      <c r="R31" s="70"/>
      <c r="S31" s="70"/>
      <c r="T31" s="70"/>
      <c r="U31" s="70"/>
      <c r="V31" s="70"/>
      <c r="W31" s="70"/>
      <c r="X31" s="70"/>
      <c r="Y31" s="70"/>
      <c r="Z31" s="77"/>
    </row>
    <row r="35" spans="1:1" x14ac:dyDescent="0.25">
      <c r="A35" s="79"/>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N4" s="5"/>
    </row>
    <row r="5" spans="1:28" s="2" customFormat="1" ht="15.75" x14ac:dyDescent="0.2">
      <c r="A5" s="309" t="str">
        <f>'1. паспорт местоположение'!A5:C5</f>
        <v>Год раскрытия информации: 2025 год</v>
      </c>
      <c r="B5" s="309"/>
      <c r="C5" s="309"/>
      <c r="D5" s="309"/>
      <c r="E5" s="309"/>
      <c r="F5" s="309"/>
      <c r="G5" s="309"/>
      <c r="H5" s="309"/>
      <c r="I5" s="309"/>
      <c r="J5" s="309"/>
      <c r="K5" s="309"/>
      <c r="L5" s="309"/>
      <c r="M5" s="309"/>
      <c r="N5" s="309"/>
      <c r="O5" s="309"/>
      <c r="P5" s="57"/>
      <c r="Q5" s="57"/>
      <c r="R5" s="57"/>
      <c r="S5" s="57"/>
      <c r="T5" s="57"/>
      <c r="U5" s="57"/>
      <c r="V5" s="57"/>
      <c r="W5" s="57"/>
      <c r="X5" s="57"/>
      <c r="Y5" s="57"/>
      <c r="Z5" s="57"/>
      <c r="AA5" s="57"/>
      <c r="AB5" s="57"/>
    </row>
    <row r="6" spans="1:28" s="2" customFormat="1" ht="18.75" x14ac:dyDescent="0.3">
      <c r="A6" s="6"/>
      <c r="B6" s="6"/>
      <c r="N6" s="5"/>
    </row>
    <row r="7" spans="1:28" s="2" customFormat="1" ht="18.75" x14ac:dyDescent="0.2">
      <c r="A7" s="310" t="s">
        <v>4</v>
      </c>
      <c r="B7" s="310"/>
      <c r="C7" s="310"/>
      <c r="D7" s="310"/>
      <c r="E7" s="310"/>
      <c r="F7" s="310"/>
      <c r="G7" s="310"/>
      <c r="H7" s="310"/>
      <c r="I7" s="310"/>
      <c r="J7" s="310"/>
      <c r="K7" s="310"/>
      <c r="L7" s="310"/>
      <c r="M7" s="310"/>
      <c r="N7" s="310"/>
      <c r="O7" s="310"/>
      <c r="P7" s="10"/>
      <c r="Q7" s="10"/>
      <c r="R7" s="10"/>
      <c r="S7" s="10"/>
      <c r="T7" s="10"/>
      <c r="U7" s="10"/>
      <c r="V7" s="10"/>
      <c r="W7" s="10"/>
      <c r="X7" s="10"/>
      <c r="Y7" s="10"/>
      <c r="Z7" s="10"/>
    </row>
    <row r="8" spans="1:28" s="2" customFormat="1" ht="18.75" x14ac:dyDescent="0.2">
      <c r="A8" s="310"/>
      <c r="B8" s="310"/>
      <c r="C8" s="310"/>
      <c r="D8" s="310"/>
      <c r="E8" s="310"/>
      <c r="F8" s="310"/>
      <c r="G8" s="310"/>
      <c r="H8" s="310"/>
      <c r="I8" s="310"/>
      <c r="J8" s="310"/>
      <c r="K8" s="310"/>
      <c r="L8" s="310"/>
      <c r="M8" s="310"/>
      <c r="N8" s="310"/>
      <c r="O8" s="310"/>
      <c r="P8" s="10"/>
      <c r="Q8" s="10"/>
      <c r="R8" s="10"/>
      <c r="S8" s="10"/>
      <c r="T8" s="10"/>
      <c r="U8" s="10"/>
      <c r="V8" s="10"/>
      <c r="W8" s="10"/>
      <c r="X8" s="10"/>
      <c r="Y8" s="10"/>
      <c r="Z8" s="10"/>
    </row>
    <row r="9" spans="1:28" s="2" customFormat="1" ht="18.75" x14ac:dyDescent="0.2">
      <c r="A9" s="322" t="str">
        <f>'1. паспорт местоположение'!A9:C9</f>
        <v>Акционерное общество "Россети Янтарь" ДЗО  ПАО "Россети"</v>
      </c>
      <c r="B9" s="322"/>
      <c r="C9" s="322"/>
      <c r="D9" s="322"/>
      <c r="E9" s="322"/>
      <c r="F9" s="322"/>
      <c r="G9" s="322"/>
      <c r="H9" s="322"/>
      <c r="I9" s="322"/>
      <c r="J9" s="322"/>
      <c r="K9" s="322"/>
      <c r="L9" s="322"/>
      <c r="M9" s="322"/>
      <c r="N9" s="322"/>
      <c r="O9" s="322"/>
      <c r="P9" s="10"/>
      <c r="Q9" s="10"/>
      <c r="R9" s="10"/>
      <c r="S9" s="10"/>
      <c r="T9" s="10"/>
      <c r="U9" s="10"/>
      <c r="V9" s="10"/>
      <c r="W9" s="10"/>
      <c r="X9" s="10"/>
      <c r="Y9" s="10"/>
      <c r="Z9" s="10"/>
    </row>
    <row r="10" spans="1:28" s="2" customFormat="1" ht="18.75" x14ac:dyDescent="0.2">
      <c r="A10" s="312" t="s">
        <v>6</v>
      </c>
      <c r="B10" s="312"/>
      <c r="C10" s="312"/>
      <c r="D10" s="312"/>
      <c r="E10" s="312"/>
      <c r="F10" s="312"/>
      <c r="G10" s="312"/>
      <c r="H10" s="312"/>
      <c r="I10" s="312"/>
      <c r="J10" s="312"/>
      <c r="K10" s="312"/>
      <c r="L10" s="312"/>
      <c r="M10" s="312"/>
      <c r="N10" s="312"/>
      <c r="O10" s="312"/>
      <c r="P10" s="10"/>
      <c r="Q10" s="10"/>
      <c r="R10" s="10"/>
      <c r="S10" s="10"/>
      <c r="T10" s="10"/>
      <c r="U10" s="10"/>
      <c r="V10" s="10"/>
      <c r="W10" s="10"/>
      <c r="X10" s="10"/>
      <c r="Y10" s="10"/>
      <c r="Z10" s="10"/>
    </row>
    <row r="11" spans="1:28" s="2" customFormat="1" ht="18.75" x14ac:dyDescent="0.2">
      <c r="A11" s="310"/>
      <c r="B11" s="310"/>
      <c r="C11" s="310"/>
      <c r="D11" s="310"/>
      <c r="E11" s="310"/>
      <c r="F11" s="310"/>
      <c r="G11" s="310"/>
      <c r="H11" s="310"/>
      <c r="I11" s="310"/>
      <c r="J11" s="310"/>
      <c r="K11" s="310"/>
      <c r="L11" s="310"/>
      <c r="M11" s="310"/>
      <c r="N11" s="310"/>
      <c r="O11" s="310"/>
      <c r="P11" s="10"/>
      <c r="Q11" s="10"/>
      <c r="R11" s="10"/>
      <c r="S11" s="10"/>
      <c r="T11" s="10"/>
      <c r="U11" s="10"/>
      <c r="V11" s="10"/>
      <c r="W11" s="10"/>
      <c r="X11" s="10"/>
      <c r="Y11" s="10"/>
      <c r="Z11" s="10"/>
    </row>
    <row r="12" spans="1:28" s="2" customFormat="1" ht="18.75" x14ac:dyDescent="0.2">
      <c r="A12" s="322" t="str">
        <f>'1. паспорт местоположение'!A12:C12</f>
        <v>H_16-0403</v>
      </c>
      <c r="B12" s="322"/>
      <c r="C12" s="322"/>
      <c r="D12" s="322"/>
      <c r="E12" s="322"/>
      <c r="F12" s="322"/>
      <c r="G12" s="322"/>
      <c r="H12" s="322"/>
      <c r="I12" s="322"/>
      <c r="J12" s="322"/>
      <c r="K12" s="322"/>
      <c r="L12" s="322"/>
      <c r="M12" s="322"/>
      <c r="N12" s="322"/>
      <c r="O12" s="322"/>
      <c r="P12" s="10"/>
      <c r="Q12" s="10"/>
      <c r="R12" s="10"/>
      <c r="S12" s="10"/>
      <c r="T12" s="10"/>
      <c r="U12" s="10"/>
      <c r="V12" s="10"/>
      <c r="W12" s="10"/>
      <c r="X12" s="10"/>
      <c r="Y12" s="10"/>
      <c r="Z12" s="10"/>
    </row>
    <row r="13" spans="1:28" s="2" customFormat="1" ht="18.75" x14ac:dyDescent="0.2">
      <c r="A13" s="312" t="s">
        <v>8</v>
      </c>
      <c r="B13" s="312"/>
      <c r="C13" s="312"/>
      <c r="D13" s="312"/>
      <c r="E13" s="312"/>
      <c r="F13" s="312"/>
      <c r="G13" s="312"/>
      <c r="H13" s="312"/>
      <c r="I13" s="312"/>
      <c r="J13" s="312"/>
      <c r="K13" s="312"/>
      <c r="L13" s="312"/>
      <c r="M13" s="312"/>
      <c r="N13" s="312"/>
      <c r="O13" s="312"/>
      <c r="P13" s="10"/>
      <c r="Q13" s="10"/>
      <c r="R13" s="10"/>
      <c r="S13" s="10"/>
      <c r="T13" s="10"/>
      <c r="U13" s="10"/>
      <c r="V13" s="10"/>
      <c r="W13" s="10"/>
      <c r="X13" s="10"/>
      <c r="Y13" s="10"/>
      <c r="Z13" s="10"/>
    </row>
    <row r="14" spans="1:28" s="2" customFormat="1" ht="15.75" customHeight="1" x14ac:dyDescent="0.2">
      <c r="A14" s="323"/>
      <c r="B14" s="323"/>
      <c r="C14" s="323"/>
      <c r="D14" s="323"/>
      <c r="E14" s="323"/>
      <c r="F14" s="323"/>
      <c r="G14" s="323"/>
      <c r="H14" s="323"/>
      <c r="I14" s="323"/>
      <c r="J14" s="323"/>
      <c r="K14" s="323"/>
      <c r="L14" s="323"/>
      <c r="M14" s="323"/>
      <c r="N14" s="323"/>
      <c r="O14" s="323"/>
      <c r="P14" s="14"/>
      <c r="Q14" s="14"/>
      <c r="R14" s="14"/>
      <c r="S14" s="14"/>
      <c r="T14" s="14"/>
      <c r="U14" s="14"/>
      <c r="V14" s="14"/>
      <c r="W14" s="14"/>
      <c r="X14" s="14"/>
      <c r="Y14" s="14"/>
      <c r="Z14" s="14"/>
    </row>
    <row r="15" spans="1:28" s="15" customFormat="1" ht="12" x14ac:dyDescent="0.2">
      <c r="A15" s="322"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322"/>
      <c r="C15" s="322"/>
      <c r="D15" s="322"/>
      <c r="E15" s="322"/>
      <c r="F15" s="322"/>
      <c r="G15" s="322"/>
      <c r="H15" s="322"/>
      <c r="I15" s="322"/>
      <c r="J15" s="322"/>
      <c r="K15" s="322"/>
      <c r="L15" s="322"/>
      <c r="M15" s="322"/>
      <c r="N15" s="322"/>
      <c r="O15" s="322"/>
      <c r="P15" s="11"/>
      <c r="Q15" s="11"/>
      <c r="R15" s="11"/>
      <c r="S15" s="11"/>
      <c r="T15" s="11"/>
      <c r="U15" s="11"/>
      <c r="V15" s="11"/>
      <c r="W15" s="11"/>
      <c r="X15" s="11"/>
      <c r="Y15" s="11"/>
      <c r="Z15" s="11"/>
    </row>
    <row r="16" spans="1:28" s="15" customFormat="1" ht="15" customHeight="1" x14ac:dyDescent="0.2">
      <c r="A16" s="312" t="s">
        <v>10</v>
      </c>
      <c r="B16" s="312"/>
      <c r="C16" s="312"/>
      <c r="D16" s="312"/>
      <c r="E16" s="312"/>
      <c r="F16" s="312"/>
      <c r="G16" s="312"/>
      <c r="H16" s="312"/>
      <c r="I16" s="312"/>
      <c r="J16" s="312"/>
      <c r="K16" s="312"/>
      <c r="L16" s="312"/>
      <c r="M16" s="312"/>
      <c r="N16" s="312"/>
      <c r="O16" s="312"/>
      <c r="P16" s="12"/>
      <c r="Q16" s="12"/>
      <c r="R16" s="12"/>
      <c r="S16" s="12"/>
      <c r="T16" s="12"/>
      <c r="U16" s="12"/>
      <c r="V16" s="12"/>
      <c r="W16" s="12"/>
      <c r="X16" s="12"/>
      <c r="Y16" s="12"/>
      <c r="Z16" s="12"/>
    </row>
    <row r="17" spans="1:26" s="15" customFormat="1" ht="15" customHeight="1" x14ac:dyDescent="0.2">
      <c r="A17" s="323"/>
      <c r="B17" s="323"/>
      <c r="C17" s="323"/>
      <c r="D17" s="323"/>
      <c r="E17" s="323"/>
      <c r="F17" s="323"/>
      <c r="G17" s="323"/>
      <c r="H17" s="323"/>
      <c r="I17" s="323"/>
      <c r="J17" s="323"/>
      <c r="K17" s="323"/>
      <c r="L17" s="323"/>
      <c r="M17" s="323"/>
      <c r="N17" s="323"/>
      <c r="O17" s="323"/>
      <c r="P17" s="14"/>
      <c r="Q17" s="14"/>
      <c r="R17" s="14"/>
      <c r="S17" s="14"/>
      <c r="T17" s="14"/>
      <c r="U17" s="14"/>
      <c r="V17" s="14"/>
      <c r="W17" s="14"/>
    </row>
    <row r="18" spans="1:26" s="15" customFormat="1" ht="91.5" customHeight="1" x14ac:dyDescent="0.2">
      <c r="A18" s="352" t="s">
        <v>207</v>
      </c>
      <c r="B18" s="352"/>
      <c r="C18" s="352"/>
      <c r="D18" s="352"/>
      <c r="E18" s="352"/>
      <c r="F18" s="352"/>
      <c r="G18" s="352"/>
      <c r="H18" s="352"/>
      <c r="I18" s="352"/>
      <c r="J18" s="352"/>
      <c r="K18" s="352"/>
      <c r="L18" s="352"/>
      <c r="M18" s="352"/>
      <c r="N18" s="352"/>
      <c r="O18" s="352"/>
      <c r="P18" s="16"/>
      <c r="Q18" s="16"/>
      <c r="R18" s="16"/>
      <c r="S18" s="16"/>
      <c r="T18" s="16"/>
      <c r="U18" s="16"/>
      <c r="V18" s="16"/>
      <c r="W18" s="16"/>
      <c r="X18" s="16"/>
      <c r="Y18" s="16"/>
      <c r="Z18" s="16"/>
    </row>
    <row r="19" spans="1:26" s="15" customFormat="1" ht="78" customHeight="1" x14ac:dyDescent="0.2">
      <c r="A19" s="326" t="s">
        <v>12</v>
      </c>
      <c r="B19" s="326" t="s">
        <v>208</v>
      </c>
      <c r="C19" s="326" t="s">
        <v>209</v>
      </c>
      <c r="D19" s="326" t="s">
        <v>210</v>
      </c>
      <c r="E19" s="353" t="s">
        <v>211</v>
      </c>
      <c r="F19" s="354"/>
      <c r="G19" s="354"/>
      <c r="H19" s="354"/>
      <c r="I19" s="355"/>
      <c r="J19" s="326" t="s">
        <v>212</v>
      </c>
      <c r="K19" s="326"/>
      <c r="L19" s="326"/>
      <c r="M19" s="326"/>
      <c r="N19" s="326"/>
      <c r="O19" s="326"/>
      <c r="P19" s="14"/>
      <c r="Q19" s="14"/>
      <c r="R19" s="14"/>
      <c r="S19" s="14"/>
      <c r="T19" s="14"/>
      <c r="U19" s="14"/>
      <c r="V19" s="14"/>
      <c r="W19" s="14"/>
    </row>
    <row r="20" spans="1:26" s="15" customFormat="1" ht="51" customHeight="1" x14ac:dyDescent="0.2">
      <c r="A20" s="326"/>
      <c r="B20" s="326"/>
      <c r="C20" s="326"/>
      <c r="D20" s="326"/>
      <c r="E20" s="29" t="s">
        <v>213</v>
      </c>
      <c r="F20" s="29" t="s">
        <v>214</v>
      </c>
      <c r="G20" s="29" t="s">
        <v>215</v>
      </c>
      <c r="H20" s="29" t="s">
        <v>216</v>
      </c>
      <c r="I20" s="29" t="s">
        <v>217</v>
      </c>
      <c r="J20" s="29">
        <v>2023</v>
      </c>
      <c r="K20" s="29">
        <v>2024</v>
      </c>
      <c r="L20" s="29">
        <v>2025</v>
      </c>
      <c r="M20" s="29">
        <v>2026</v>
      </c>
      <c r="N20" s="29">
        <v>2027</v>
      </c>
      <c r="O20" s="29">
        <v>2028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
      <c r="A22" s="20" t="s">
        <v>15</v>
      </c>
      <c r="B22" s="80" t="s">
        <v>218</v>
      </c>
      <c r="C22" s="58">
        <v>0</v>
      </c>
      <c r="D22" s="58">
        <v>0</v>
      </c>
      <c r="E22" s="58">
        <v>0</v>
      </c>
      <c r="F22" s="58">
        <v>0</v>
      </c>
      <c r="G22" s="58">
        <v>0</v>
      </c>
      <c r="H22" s="58">
        <v>0</v>
      </c>
      <c r="I22" s="58">
        <v>0</v>
      </c>
      <c r="J22" s="81">
        <v>0</v>
      </c>
      <c r="K22" s="81">
        <v>0</v>
      </c>
      <c r="L22" s="81">
        <v>0</v>
      </c>
      <c r="M22" s="81">
        <v>0</v>
      </c>
      <c r="N22" s="81">
        <v>0</v>
      </c>
      <c r="O22" s="81">
        <v>0</v>
      </c>
      <c r="P22" s="14"/>
      <c r="Q22" s="14"/>
      <c r="R22" s="14"/>
      <c r="S22" s="14"/>
      <c r="T22" s="14"/>
      <c r="U22" s="14"/>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E203"/>
  <sheetViews>
    <sheetView topLeftCell="A2" zoomScale="82" zoomScaleNormal="82" workbookViewId="0">
      <selection activeCell="A98" sqref="A98"/>
    </sheetView>
  </sheetViews>
  <sheetFormatPr defaultColWidth="9.140625" defaultRowHeight="15.75" x14ac:dyDescent="0.2"/>
  <cols>
    <col min="1" max="1" width="61.7109375" style="83" customWidth="1"/>
    <col min="2" max="2" width="18.5703125" style="84" customWidth="1"/>
    <col min="3" max="18" width="16.85546875" style="84" customWidth="1"/>
    <col min="19" max="39" width="16.85546875" style="84" hidden="1" customWidth="1"/>
    <col min="40" max="40" width="12" style="82" hidden="1" customWidth="1"/>
    <col min="41" max="41" width="11.85546875" style="82" hidden="1" customWidth="1"/>
    <col min="42" max="43" width="9.140625" style="82" hidden="1" customWidth="1"/>
    <col min="44" max="44" width="0" style="82" hidden="1" customWidth="1"/>
    <col min="45" max="242" width="9.140625" style="82"/>
    <col min="243" max="243" width="61.7109375" style="82" customWidth="1"/>
    <col min="244" max="244" width="18.5703125" style="82" customWidth="1"/>
    <col min="245" max="284" width="16.85546875" style="82" customWidth="1"/>
    <col min="285" max="286" width="18.5703125" style="82" customWidth="1"/>
    <col min="287" max="287" width="21.7109375" style="82" customWidth="1"/>
    <col min="288" max="498" width="9.140625" style="82"/>
    <col min="499" max="499" width="61.7109375" style="82" customWidth="1"/>
    <col min="500" max="500" width="18.5703125" style="82" customWidth="1"/>
    <col min="501" max="540" width="16.85546875" style="82" customWidth="1"/>
    <col min="541" max="542" width="18.5703125" style="82" customWidth="1"/>
    <col min="543" max="543" width="21.7109375" style="82" customWidth="1"/>
    <col min="544" max="754" width="9.140625" style="82"/>
    <col min="755" max="755" width="61.7109375" style="82" customWidth="1"/>
    <col min="756" max="756" width="18.5703125" style="82" customWidth="1"/>
    <col min="757" max="796" width="16.85546875" style="82" customWidth="1"/>
    <col min="797" max="798" width="18.5703125" style="82" customWidth="1"/>
    <col min="799" max="799" width="21.7109375" style="82" customWidth="1"/>
    <col min="800" max="1010" width="9.140625" style="82"/>
    <col min="1011" max="1011" width="61.7109375" style="82" customWidth="1"/>
    <col min="1012" max="1012" width="18.5703125" style="82" customWidth="1"/>
    <col min="1013" max="1052" width="16.85546875" style="82" customWidth="1"/>
    <col min="1053" max="1054" width="18.5703125" style="82" customWidth="1"/>
    <col min="1055" max="1055" width="21.7109375" style="82" customWidth="1"/>
    <col min="1056" max="1266" width="9.140625" style="82"/>
    <col min="1267" max="1267" width="61.7109375" style="82" customWidth="1"/>
    <col min="1268" max="1268" width="18.5703125" style="82" customWidth="1"/>
    <col min="1269" max="1308" width="16.85546875" style="82" customWidth="1"/>
    <col min="1309" max="1310" width="18.5703125" style="82" customWidth="1"/>
    <col min="1311" max="1311" width="21.7109375" style="82" customWidth="1"/>
    <col min="1312" max="1522" width="9.140625" style="82"/>
    <col min="1523" max="1523" width="61.7109375" style="82" customWidth="1"/>
    <col min="1524" max="1524" width="18.5703125" style="82" customWidth="1"/>
    <col min="1525" max="1564" width="16.85546875" style="82" customWidth="1"/>
    <col min="1565" max="1566" width="18.5703125" style="82" customWidth="1"/>
    <col min="1567" max="1567" width="21.7109375" style="82" customWidth="1"/>
    <col min="1568" max="1778" width="9.140625" style="82"/>
    <col min="1779" max="1779" width="61.7109375" style="82" customWidth="1"/>
    <col min="1780" max="1780" width="18.5703125" style="82" customWidth="1"/>
    <col min="1781" max="1820" width="16.85546875" style="82" customWidth="1"/>
    <col min="1821" max="1822" width="18.5703125" style="82" customWidth="1"/>
    <col min="1823" max="1823" width="21.7109375" style="82" customWidth="1"/>
    <col min="1824" max="2034" width="9.140625" style="82"/>
    <col min="2035" max="2035" width="61.7109375" style="82" customWidth="1"/>
    <col min="2036" max="2036" width="18.5703125" style="82" customWidth="1"/>
    <col min="2037" max="2076" width="16.85546875" style="82" customWidth="1"/>
    <col min="2077" max="2078" width="18.5703125" style="82" customWidth="1"/>
    <col min="2079" max="2079" width="21.7109375" style="82" customWidth="1"/>
    <col min="2080" max="2290" width="9.140625" style="82"/>
    <col min="2291" max="2291" width="61.7109375" style="82" customWidth="1"/>
    <col min="2292" max="2292" width="18.5703125" style="82" customWidth="1"/>
    <col min="2293" max="2332" width="16.85546875" style="82" customWidth="1"/>
    <col min="2333" max="2334" width="18.5703125" style="82" customWidth="1"/>
    <col min="2335" max="2335" width="21.7109375" style="82" customWidth="1"/>
    <col min="2336" max="2546" width="9.140625" style="82"/>
    <col min="2547" max="2547" width="61.7109375" style="82" customWidth="1"/>
    <col min="2548" max="2548" width="18.5703125" style="82" customWidth="1"/>
    <col min="2549" max="2588" width="16.85546875" style="82" customWidth="1"/>
    <col min="2589" max="2590" width="18.5703125" style="82" customWidth="1"/>
    <col min="2591" max="2591" width="21.7109375" style="82" customWidth="1"/>
    <col min="2592" max="2802" width="9.140625" style="82"/>
    <col min="2803" max="2803" width="61.7109375" style="82" customWidth="1"/>
    <col min="2804" max="2804" width="18.5703125" style="82" customWidth="1"/>
    <col min="2805" max="2844" width="16.85546875" style="82" customWidth="1"/>
    <col min="2845" max="2846" width="18.5703125" style="82" customWidth="1"/>
    <col min="2847" max="2847" width="21.7109375" style="82" customWidth="1"/>
    <col min="2848" max="3058" width="9.140625" style="82"/>
    <col min="3059" max="3059" width="61.7109375" style="82" customWidth="1"/>
    <col min="3060" max="3060" width="18.5703125" style="82" customWidth="1"/>
    <col min="3061" max="3100" width="16.85546875" style="82" customWidth="1"/>
    <col min="3101" max="3102" width="18.5703125" style="82" customWidth="1"/>
    <col min="3103" max="3103" width="21.7109375" style="82" customWidth="1"/>
    <col min="3104" max="3314" width="9.140625" style="82"/>
    <col min="3315" max="3315" width="61.7109375" style="82" customWidth="1"/>
    <col min="3316" max="3316" width="18.5703125" style="82" customWidth="1"/>
    <col min="3317" max="3356" width="16.85546875" style="82" customWidth="1"/>
    <col min="3357" max="3358" width="18.5703125" style="82" customWidth="1"/>
    <col min="3359" max="3359" width="21.7109375" style="82" customWidth="1"/>
    <col min="3360" max="3570" width="9.140625" style="82"/>
    <col min="3571" max="3571" width="61.7109375" style="82" customWidth="1"/>
    <col min="3572" max="3572" width="18.5703125" style="82" customWidth="1"/>
    <col min="3573" max="3612" width="16.85546875" style="82" customWidth="1"/>
    <col min="3613" max="3614" width="18.5703125" style="82" customWidth="1"/>
    <col min="3615" max="3615" width="21.7109375" style="82" customWidth="1"/>
    <col min="3616" max="3826" width="9.140625" style="82"/>
    <col min="3827" max="3827" width="61.7109375" style="82" customWidth="1"/>
    <col min="3828" max="3828" width="18.5703125" style="82" customWidth="1"/>
    <col min="3829" max="3868" width="16.85546875" style="82" customWidth="1"/>
    <col min="3869" max="3870" width="18.5703125" style="82" customWidth="1"/>
    <col min="3871" max="3871" width="21.7109375" style="82" customWidth="1"/>
    <col min="3872" max="4082" width="9.140625" style="82"/>
    <col min="4083" max="4083" width="61.7109375" style="82" customWidth="1"/>
    <col min="4084" max="4084" width="18.5703125" style="82" customWidth="1"/>
    <col min="4085" max="4124" width="16.85546875" style="82" customWidth="1"/>
    <col min="4125" max="4126" width="18.5703125" style="82" customWidth="1"/>
    <col min="4127" max="4127" width="21.7109375" style="82" customWidth="1"/>
    <col min="4128" max="4338" width="9.140625" style="82"/>
    <col min="4339" max="4339" width="61.7109375" style="82" customWidth="1"/>
    <col min="4340" max="4340" width="18.5703125" style="82" customWidth="1"/>
    <col min="4341" max="4380" width="16.85546875" style="82" customWidth="1"/>
    <col min="4381" max="4382" width="18.5703125" style="82" customWidth="1"/>
    <col min="4383" max="4383" width="21.7109375" style="82" customWidth="1"/>
    <col min="4384" max="4594" width="9.140625" style="82"/>
    <col min="4595" max="4595" width="61.7109375" style="82" customWidth="1"/>
    <col min="4596" max="4596" width="18.5703125" style="82" customWidth="1"/>
    <col min="4597" max="4636" width="16.85546875" style="82" customWidth="1"/>
    <col min="4637" max="4638" width="18.5703125" style="82" customWidth="1"/>
    <col min="4639" max="4639" width="21.7109375" style="82" customWidth="1"/>
    <col min="4640" max="4850" width="9.140625" style="82"/>
    <col min="4851" max="4851" width="61.7109375" style="82" customWidth="1"/>
    <col min="4852" max="4852" width="18.5703125" style="82" customWidth="1"/>
    <col min="4853" max="4892" width="16.85546875" style="82" customWidth="1"/>
    <col min="4893" max="4894" width="18.5703125" style="82" customWidth="1"/>
    <col min="4895" max="4895" width="21.7109375" style="82" customWidth="1"/>
    <col min="4896" max="5106" width="9.140625" style="82"/>
    <col min="5107" max="5107" width="61.7109375" style="82" customWidth="1"/>
    <col min="5108" max="5108" width="18.5703125" style="82" customWidth="1"/>
    <col min="5109" max="5148" width="16.85546875" style="82" customWidth="1"/>
    <col min="5149" max="5150" width="18.5703125" style="82" customWidth="1"/>
    <col min="5151" max="5151" width="21.7109375" style="82" customWidth="1"/>
    <col min="5152" max="5362" width="9.140625" style="82"/>
    <col min="5363" max="5363" width="61.7109375" style="82" customWidth="1"/>
    <col min="5364" max="5364" width="18.5703125" style="82" customWidth="1"/>
    <col min="5365" max="5404" width="16.85546875" style="82" customWidth="1"/>
    <col min="5405" max="5406" width="18.5703125" style="82" customWidth="1"/>
    <col min="5407" max="5407" width="21.7109375" style="82" customWidth="1"/>
    <col min="5408" max="5618" width="9.140625" style="82"/>
    <col min="5619" max="5619" width="61.7109375" style="82" customWidth="1"/>
    <col min="5620" max="5620" width="18.5703125" style="82" customWidth="1"/>
    <col min="5621" max="5660" width="16.85546875" style="82" customWidth="1"/>
    <col min="5661" max="5662" width="18.5703125" style="82" customWidth="1"/>
    <col min="5663" max="5663" width="21.7109375" style="82" customWidth="1"/>
    <col min="5664" max="5874" width="9.140625" style="82"/>
    <col min="5875" max="5875" width="61.7109375" style="82" customWidth="1"/>
    <col min="5876" max="5876" width="18.5703125" style="82" customWidth="1"/>
    <col min="5877" max="5916" width="16.85546875" style="82" customWidth="1"/>
    <col min="5917" max="5918" width="18.5703125" style="82" customWidth="1"/>
    <col min="5919" max="5919" width="21.7109375" style="82" customWidth="1"/>
    <col min="5920" max="6130" width="9.140625" style="82"/>
    <col min="6131" max="6131" width="61.7109375" style="82" customWidth="1"/>
    <col min="6132" max="6132" width="18.5703125" style="82" customWidth="1"/>
    <col min="6133" max="6172" width="16.85546875" style="82" customWidth="1"/>
    <col min="6173" max="6174" width="18.5703125" style="82" customWidth="1"/>
    <col min="6175" max="6175" width="21.7109375" style="82" customWidth="1"/>
    <col min="6176" max="6386" width="9.140625" style="82"/>
    <col min="6387" max="6387" width="61.7109375" style="82" customWidth="1"/>
    <col min="6388" max="6388" width="18.5703125" style="82" customWidth="1"/>
    <col min="6389" max="6428" width="16.85546875" style="82" customWidth="1"/>
    <col min="6429" max="6430" width="18.5703125" style="82" customWidth="1"/>
    <col min="6431" max="6431" width="21.7109375" style="82" customWidth="1"/>
    <col min="6432" max="6642" width="9.140625" style="82"/>
    <col min="6643" max="6643" width="61.7109375" style="82" customWidth="1"/>
    <col min="6644" max="6644" width="18.5703125" style="82" customWidth="1"/>
    <col min="6645" max="6684" width="16.85546875" style="82" customWidth="1"/>
    <col min="6685" max="6686" width="18.5703125" style="82" customWidth="1"/>
    <col min="6687" max="6687" width="21.7109375" style="82" customWidth="1"/>
    <col min="6688" max="6898" width="9.140625" style="82"/>
    <col min="6899" max="6899" width="61.7109375" style="82" customWidth="1"/>
    <col min="6900" max="6900" width="18.5703125" style="82" customWidth="1"/>
    <col min="6901" max="6940" width="16.85546875" style="82" customWidth="1"/>
    <col min="6941" max="6942" width="18.5703125" style="82" customWidth="1"/>
    <col min="6943" max="6943" width="21.7109375" style="82" customWidth="1"/>
    <col min="6944" max="7154" width="9.140625" style="82"/>
    <col min="7155" max="7155" width="61.7109375" style="82" customWidth="1"/>
    <col min="7156" max="7156" width="18.5703125" style="82" customWidth="1"/>
    <col min="7157" max="7196" width="16.85546875" style="82" customWidth="1"/>
    <col min="7197" max="7198" width="18.5703125" style="82" customWidth="1"/>
    <col min="7199" max="7199" width="21.7109375" style="82" customWidth="1"/>
    <col min="7200" max="7410" width="9.140625" style="82"/>
    <col min="7411" max="7411" width="61.7109375" style="82" customWidth="1"/>
    <col min="7412" max="7412" width="18.5703125" style="82" customWidth="1"/>
    <col min="7413" max="7452" width="16.85546875" style="82" customWidth="1"/>
    <col min="7453" max="7454" width="18.5703125" style="82" customWidth="1"/>
    <col min="7455" max="7455" width="21.7109375" style="82" customWidth="1"/>
    <col min="7456" max="7666" width="9.140625" style="82"/>
    <col min="7667" max="7667" width="61.7109375" style="82" customWidth="1"/>
    <col min="7668" max="7668" width="18.5703125" style="82" customWidth="1"/>
    <col min="7669" max="7708" width="16.85546875" style="82" customWidth="1"/>
    <col min="7709" max="7710" width="18.5703125" style="82" customWidth="1"/>
    <col min="7711" max="7711" width="21.7109375" style="82" customWidth="1"/>
    <col min="7712" max="7922" width="9.140625" style="82"/>
    <col min="7923" max="7923" width="61.7109375" style="82" customWidth="1"/>
    <col min="7924" max="7924" width="18.5703125" style="82" customWidth="1"/>
    <col min="7925" max="7964" width="16.85546875" style="82" customWidth="1"/>
    <col min="7965" max="7966" width="18.5703125" style="82" customWidth="1"/>
    <col min="7967" max="7967" width="21.7109375" style="82" customWidth="1"/>
    <col min="7968" max="8178" width="9.140625" style="82"/>
    <col min="8179" max="8179" width="61.7109375" style="82" customWidth="1"/>
    <col min="8180" max="8180" width="18.5703125" style="82" customWidth="1"/>
    <col min="8181" max="8220" width="16.85546875" style="82" customWidth="1"/>
    <col min="8221" max="8222" width="18.5703125" style="82" customWidth="1"/>
    <col min="8223" max="8223" width="21.7109375" style="82" customWidth="1"/>
    <col min="8224" max="8434" width="9.140625" style="82"/>
    <col min="8435" max="8435" width="61.7109375" style="82" customWidth="1"/>
    <col min="8436" max="8436" width="18.5703125" style="82" customWidth="1"/>
    <col min="8437" max="8476" width="16.85546875" style="82" customWidth="1"/>
    <col min="8477" max="8478" width="18.5703125" style="82" customWidth="1"/>
    <col min="8479" max="8479" width="21.7109375" style="82" customWidth="1"/>
    <col min="8480" max="8690" width="9.140625" style="82"/>
    <col min="8691" max="8691" width="61.7109375" style="82" customWidth="1"/>
    <col min="8692" max="8692" width="18.5703125" style="82" customWidth="1"/>
    <col min="8693" max="8732" width="16.85546875" style="82" customWidth="1"/>
    <col min="8733" max="8734" width="18.5703125" style="82" customWidth="1"/>
    <col min="8735" max="8735" width="21.7109375" style="82" customWidth="1"/>
    <col min="8736" max="8946" width="9.140625" style="82"/>
    <col min="8947" max="8947" width="61.7109375" style="82" customWidth="1"/>
    <col min="8948" max="8948" width="18.5703125" style="82" customWidth="1"/>
    <col min="8949" max="8988" width="16.85546875" style="82" customWidth="1"/>
    <col min="8989" max="8990" width="18.5703125" style="82" customWidth="1"/>
    <col min="8991" max="8991" width="21.7109375" style="82" customWidth="1"/>
    <col min="8992" max="9202" width="9.140625" style="82"/>
    <col min="9203" max="9203" width="61.7109375" style="82" customWidth="1"/>
    <col min="9204" max="9204" width="18.5703125" style="82" customWidth="1"/>
    <col min="9205" max="9244" width="16.85546875" style="82" customWidth="1"/>
    <col min="9245" max="9246" width="18.5703125" style="82" customWidth="1"/>
    <col min="9247" max="9247" width="21.7109375" style="82" customWidth="1"/>
    <col min="9248" max="9458" width="9.140625" style="82"/>
    <col min="9459" max="9459" width="61.7109375" style="82" customWidth="1"/>
    <col min="9460" max="9460" width="18.5703125" style="82" customWidth="1"/>
    <col min="9461" max="9500" width="16.85546875" style="82" customWidth="1"/>
    <col min="9501" max="9502" width="18.5703125" style="82" customWidth="1"/>
    <col min="9503" max="9503" width="21.7109375" style="82" customWidth="1"/>
    <col min="9504" max="9714" width="9.140625" style="82"/>
    <col min="9715" max="9715" width="61.7109375" style="82" customWidth="1"/>
    <col min="9716" max="9716" width="18.5703125" style="82" customWidth="1"/>
    <col min="9717" max="9756" width="16.85546875" style="82" customWidth="1"/>
    <col min="9757" max="9758" width="18.5703125" style="82" customWidth="1"/>
    <col min="9759" max="9759" width="21.7109375" style="82" customWidth="1"/>
    <col min="9760" max="9970" width="9.140625" style="82"/>
    <col min="9971" max="9971" width="61.7109375" style="82" customWidth="1"/>
    <col min="9972" max="9972" width="18.5703125" style="82" customWidth="1"/>
    <col min="9973" max="10012" width="16.85546875" style="82" customWidth="1"/>
    <col min="10013" max="10014" width="18.5703125" style="82" customWidth="1"/>
    <col min="10015" max="10015" width="21.7109375" style="82" customWidth="1"/>
    <col min="10016" max="10226" width="9.140625" style="82"/>
    <col min="10227" max="10227" width="61.7109375" style="82" customWidth="1"/>
    <col min="10228" max="10228" width="18.5703125" style="82" customWidth="1"/>
    <col min="10229" max="10268" width="16.85546875" style="82" customWidth="1"/>
    <col min="10269" max="10270" width="18.5703125" style="82" customWidth="1"/>
    <col min="10271" max="10271" width="21.7109375" style="82" customWidth="1"/>
    <col min="10272" max="10482" width="9.140625" style="82"/>
    <col min="10483" max="10483" width="61.7109375" style="82" customWidth="1"/>
    <col min="10484" max="10484" width="18.5703125" style="82" customWidth="1"/>
    <col min="10485" max="10524" width="16.85546875" style="82" customWidth="1"/>
    <col min="10525" max="10526" width="18.5703125" style="82" customWidth="1"/>
    <col min="10527" max="10527" width="21.7109375" style="82" customWidth="1"/>
    <col min="10528" max="10738" width="9.140625" style="82"/>
    <col min="10739" max="10739" width="61.7109375" style="82" customWidth="1"/>
    <col min="10740" max="10740" width="18.5703125" style="82" customWidth="1"/>
    <col min="10741" max="10780" width="16.85546875" style="82" customWidth="1"/>
    <col min="10781" max="10782" width="18.5703125" style="82" customWidth="1"/>
    <col min="10783" max="10783" width="21.7109375" style="82" customWidth="1"/>
    <col min="10784" max="10994" width="9.140625" style="82"/>
    <col min="10995" max="10995" width="61.7109375" style="82" customWidth="1"/>
    <col min="10996" max="10996" width="18.5703125" style="82" customWidth="1"/>
    <col min="10997" max="11036" width="16.85546875" style="82" customWidth="1"/>
    <col min="11037" max="11038" width="18.5703125" style="82" customWidth="1"/>
    <col min="11039" max="11039" width="21.7109375" style="82" customWidth="1"/>
    <col min="11040" max="11250" width="9.140625" style="82"/>
    <col min="11251" max="11251" width="61.7109375" style="82" customWidth="1"/>
    <col min="11252" max="11252" width="18.5703125" style="82" customWidth="1"/>
    <col min="11253" max="11292" width="16.85546875" style="82" customWidth="1"/>
    <col min="11293" max="11294" width="18.5703125" style="82" customWidth="1"/>
    <col min="11295" max="11295" width="21.7109375" style="82" customWidth="1"/>
    <col min="11296" max="11506" width="9.140625" style="82"/>
    <col min="11507" max="11507" width="61.7109375" style="82" customWidth="1"/>
    <col min="11508" max="11508" width="18.5703125" style="82" customWidth="1"/>
    <col min="11509" max="11548" width="16.85546875" style="82" customWidth="1"/>
    <col min="11549" max="11550" width="18.5703125" style="82" customWidth="1"/>
    <col min="11551" max="11551" width="21.7109375" style="82" customWidth="1"/>
    <col min="11552" max="11762" width="9.140625" style="82"/>
    <col min="11763" max="11763" width="61.7109375" style="82" customWidth="1"/>
    <col min="11764" max="11764" width="18.5703125" style="82" customWidth="1"/>
    <col min="11765" max="11804" width="16.85546875" style="82" customWidth="1"/>
    <col min="11805" max="11806" width="18.5703125" style="82" customWidth="1"/>
    <col min="11807" max="11807" width="21.7109375" style="82" customWidth="1"/>
    <col min="11808" max="12018" width="9.140625" style="82"/>
    <col min="12019" max="12019" width="61.7109375" style="82" customWidth="1"/>
    <col min="12020" max="12020" width="18.5703125" style="82" customWidth="1"/>
    <col min="12021" max="12060" width="16.85546875" style="82" customWidth="1"/>
    <col min="12061" max="12062" width="18.5703125" style="82" customWidth="1"/>
    <col min="12063" max="12063" width="21.7109375" style="82" customWidth="1"/>
    <col min="12064" max="12274" width="9.140625" style="82"/>
    <col min="12275" max="12275" width="61.7109375" style="82" customWidth="1"/>
    <col min="12276" max="12276" width="18.5703125" style="82" customWidth="1"/>
    <col min="12277" max="12316" width="16.85546875" style="82" customWidth="1"/>
    <col min="12317" max="12318" width="18.5703125" style="82" customWidth="1"/>
    <col min="12319" max="12319" width="21.7109375" style="82" customWidth="1"/>
    <col min="12320" max="12530" width="9.140625" style="82"/>
    <col min="12531" max="12531" width="61.7109375" style="82" customWidth="1"/>
    <col min="12532" max="12532" width="18.5703125" style="82" customWidth="1"/>
    <col min="12533" max="12572" width="16.85546875" style="82" customWidth="1"/>
    <col min="12573" max="12574" width="18.5703125" style="82" customWidth="1"/>
    <col min="12575" max="12575" width="21.7109375" style="82" customWidth="1"/>
    <col min="12576" max="12786" width="9.140625" style="82"/>
    <col min="12787" max="12787" width="61.7109375" style="82" customWidth="1"/>
    <col min="12788" max="12788" width="18.5703125" style="82" customWidth="1"/>
    <col min="12789" max="12828" width="16.85546875" style="82" customWidth="1"/>
    <col min="12829" max="12830" width="18.5703125" style="82" customWidth="1"/>
    <col min="12831" max="12831" width="21.7109375" style="82" customWidth="1"/>
    <col min="12832" max="13042" width="9.140625" style="82"/>
    <col min="13043" max="13043" width="61.7109375" style="82" customWidth="1"/>
    <col min="13044" max="13044" width="18.5703125" style="82" customWidth="1"/>
    <col min="13045" max="13084" width="16.85546875" style="82" customWidth="1"/>
    <col min="13085" max="13086" width="18.5703125" style="82" customWidth="1"/>
    <col min="13087" max="13087" width="21.7109375" style="82" customWidth="1"/>
    <col min="13088" max="13298" width="9.140625" style="82"/>
    <col min="13299" max="13299" width="61.7109375" style="82" customWidth="1"/>
    <col min="13300" max="13300" width="18.5703125" style="82" customWidth="1"/>
    <col min="13301" max="13340" width="16.85546875" style="82" customWidth="1"/>
    <col min="13341" max="13342" width="18.5703125" style="82" customWidth="1"/>
    <col min="13343" max="13343" width="21.7109375" style="82" customWidth="1"/>
    <col min="13344" max="13554" width="9.140625" style="82"/>
    <col min="13555" max="13555" width="61.7109375" style="82" customWidth="1"/>
    <col min="13556" max="13556" width="18.5703125" style="82" customWidth="1"/>
    <col min="13557" max="13596" width="16.85546875" style="82" customWidth="1"/>
    <col min="13597" max="13598" width="18.5703125" style="82" customWidth="1"/>
    <col min="13599" max="13599" width="21.7109375" style="82" customWidth="1"/>
    <col min="13600" max="13810" width="9.140625" style="82"/>
    <col min="13811" max="13811" width="61.7109375" style="82" customWidth="1"/>
    <col min="13812" max="13812" width="18.5703125" style="82" customWidth="1"/>
    <col min="13813" max="13852" width="16.85546875" style="82" customWidth="1"/>
    <col min="13853" max="13854" width="18.5703125" style="82" customWidth="1"/>
    <col min="13855" max="13855" width="21.7109375" style="82" customWidth="1"/>
    <col min="13856" max="14066" width="9.140625" style="82"/>
    <col min="14067" max="14067" width="61.7109375" style="82" customWidth="1"/>
    <col min="14068" max="14068" width="18.5703125" style="82" customWidth="1"/>
    <col min="14069" max="14108" width="16.85546875" style="82" customWidth="1"/>
    <col min="14109" max="14110" width="18.5703125" style="82" customWidth="1"/>
    <col min="14111" max="14111" width="21.7109375" style="82" customWidth="1"/>
    <col min="14112" max="14322" width="9.140625" style="82"/>
    <col min="14323" max="14323" width="61.7109375" style="82" customWidth="1"/>
    <col min="14324" max="14324" width="18.5703125" style="82" customWidth="1"/>
    <col min="14325" max="14364" width="16.85546875" style="82" customWidth="1"/>
    <col min="14365" max="14366" width="18.5703125" style="82" customWidth="1"/>
    <col min="14367" max="14367" width="21.7109375" style="82" customWidth="1"/>
    <col min="14368" max="14578" width="9.140625" style="82"/>
    <col min="14579" max="14579" width="61.7109375" style="82" customWidth="1"/>
    <col min="14580" max="14580" width="18.5703125" style="82" customWidth="1"/>
    <col min="14581" max="14620" width="16.85546875" style="82" customWidth="1"/>
    <col min="14621" max="14622" width="18.5703125" style="82" customWidth="1"/>
    <col min="14623" max="14623" width="21.7109375" style="82" customWidth="1"/>
    <col min="14624" max="14834" width="9.140625" style="82"/>
    <col min="14835" max="14835" width="61.7109375" style="82" customWidth="1"/>
    <col min="14836" max="14836" width="18.5703125" style="82" customWidth="1"/>
    <col min="14837" max="14876" width="16.85546875" style="82" customWidth="1"/>
    <col min="14877" max="14878" width="18.5703125" style="82" customWidth="1"/>
    <col min="14879" max="14879" width="21.7109375" style="82" customWidth="1"/>
    <col min="14880" max="15090" width="9.140625" style="82"/>
    <col min="15091" max="15091" width="61.7109375" style="82" customWidth="1"/>
    <col min="15092" max="15092" width="18.5703125" style="82" customWidth="1"/>
    <col min="15093" max="15132" width="16.85546875" style="82" customWidth="1"/>
    <col min="15133" max="15134" width="18.5703125" style="82" customWidth="1"/>
    <col min="15135" max="15135" width="21.7109375" style="82" customWidth="1"/>
    <col min="15136" max="15346" width="9.140625" style="82"/>
    <col min="15347" max="15347" width="61.7109375" style="82" customWidth="1"/>
    <col min="15348" max="15348" width="18.5703125" style="82" customWidth="1"/>
    <col min="15349" max="15388" width="16.85546875" style="82" customWidth="1"/>
    <col min="15389" max="15390" width="18.5703125" style="82" customWidth="1"/>
    <col min="15391" max="15391" width="21.7109375" style="82" customWidth="1"/>
    <col min="15392" max="15602" width="9.140625" style="82"/>
    <col min="15603" max="15603" width="61.7109375" style="82" customWidth="1"/>
    <col min="15604" max="15604" width="18.5703125" style="82" customWidth="1"/>
    <col min="15605" max="15644" width="16.85546875" style="82" customWidth="1"/>
    <col min="15645" max="15646" width="18.5703125" style="82" customWidth="1"/>
    <col min="15647" max="15647" width="21.7109375" style="82" customWidth="1"/>
    <col min="15648" max="15858" width="9.140625" style="82"/>
    <col min="15859" max="15859" width="61.7109375" style="82" customWidth="1"/>
    <col min="15860" max="15860" width="18.5703125" style="82" customWidth="1"/>
    <col min="15861" max="15900" width="16.85546875" style="82" customWidth="1"/>
    <col min="15901" max="15902" width="18.5703125" style="82" customWidth="1"/>
    <col min="15903" max="15903" width="21.7109375" style="82" customWidth="1"/>
    <col min="15904" max="16114" width="9.140625" style="82"/>
    <col min="16115" max="16115" width="61.7109375" style="82" customWidth="1"/>
    <col min="16116" max="16116" width="18.5703125" style="82" customWidth="1"/>
    <col min="16117" max="16156" width="16.85546875" style="82" customWidth="1"/>
    <col min="16157" max="16158" width="18.5703125" style="82" customWidth="1"/>
    <col min="16159" max="16159" width="21.7109375" style="82" customWidth="1"/>
    <col min="16160" max="16384" width="9.140625" style="82"/>
  </cols>
  <sheetData>
    <row r="1" spans="1:39"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row>
    <row r="2" spans="1:39" ht="18.75" x14ac:dyDescent="0.3">
      <c r="A2" s="3"/>
      <c r="B2" s="2"/>
      <c r="C2" s="2"/>
      <c r="D2" s="2"/>
      <c r="E2" s="82"/>
      <c r="F2" s="82"/>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row>
    <row r="3" spans="1:39" ht="18.75" x14ac:dyDescent="0.3">
      <c r="A3" s="6"/>
      <c r="B3" s="2"/>
      <c r="C3" s="2"/>
      <c r="D3" s="2"/>
      <c r="E3" s="82"/>
      <c r="F3" s="82"/>
      <c r="G3" s="2"/>
      <c r="H3" s="5" t="s">
        <v>219</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row>
    <row r="4" spans="1:39"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row>
    <row r="5" spans="1:39" x14ac:dyDescent="0.2">
      <c r="A5" s="356" t="str">
        <f>'1. паспорт местоположение'!A5:C5</f>
        <v>Год раскрытия информации: 2025 год</v>
      </c>
      <c r="B5" s="356"/>
      <c r="C5" s="356"/>
      <c r="D5" s="356"/>
      <c r="E5" s="356"/>
      <c r="F5" s="356"/>
      <c r="G5" s="356"/>
      <c r="H5" s="356"/>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row>
    <row r="6" spans="1:39"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row>
    <row r="7" spans="1:39" ht="18.75" x14ac:dyDescent="0.2">
      <c r="A7" s="310" t="s">
        <v>4</v>
      </c>
      <c r="B7" s="310"/>
      <c r="C7" s="310"/>
      <c r="D7" s="310"/>
      <c r="E7" s="310"/>
      <c r="F7" s="310"/>
      <c r="G7" s="310"/>
      <c r="H7" s="3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row>
    <row r="8" spans="1:39"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row>
    <row r="9" spans="1:39" ht="18.75" x14ac:dyDescent="0.2">
      <c r="A9" s="321" t="str">
        <f>'1. паспорт местоположение'!A9:C9</f>
        <v>Акционерное общество "Россети Янтарь" ДЗО  ПАО "Россети"</v>
      </c>
      <c r="B9" s="321"/>
      <c r="C9" s="321"/>
      <c r="D9" s="321"/>
      <c r="E9" s="321"/>
      <c r="F9" s="321"/>
      <c r="G9" s="321"/>
      <c r="H9" s="32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row>
    <row r="10" spans="1:39" x14ac:dyDescent="0.2">
      <c r="A10" s="312" t="s">
        <v>6</v>
      </c>
      <c r="B10" s="312"/>
      <c r="C10" s="312"/>
      <c r="D10" s="312"/>
      <c r="E10" s="312"/>
      <c r="F10" s="312"/>
      <c r="G10" s="312"/>
      <c r="H10" s="3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row>
    <row r="11" spans="1:39"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row>
    <row r="12" spans="1:39" ht="18.75" x14ac:dyDescent="0.2">
      <c r="A12" s="321" t="str">
        <f>'1. паспорт местоположение'!A12:C12</f>
        <v>H_16-0403</v>
      </c>
      <c r="B12" s="321"/>
      <c r="C12" s="321"/>
      <c r="D12" s="321"/>
      <c r="E12" s="321"/>
      <c r="F12" s="321"/>
      <c r="G12" s="321"/>
      <c r="H12" s="32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row>
    <row r="13" spans="1:39" x14ac:dyDescent="0.2">
      <c r="A13" s="312" t="s">
        <v>8</v>
      </c>
      <c r="B13" s="312"/>
      <c r="C13" s="312"/>
      <c r="D13" s="312"/>
      <c r="E13" s="312"/>
      <c r="F13" s="312"/>
      <c r="G13" s="312"/>
      <c r="H13" s="3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row>
    <row r="14" spans="1:39"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row>
    <row r="15" spans="1:39" ht="44.25" customHeight="1" x14ac:dyDescent="0.2">
      <c r="A15" s="357" t="str">
        <f>'1. паспорт местоположение'!A15:C15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320"/>
      <c r="C15" s="320"/>
      <c r="D15" s="320"/>
      <c r="E15" s="320"/>
      <c r="F15" s="320"/>
      <c r="G15" s="320"/>
      <c r="H15" s="320"/>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row>
    <row r="16" spans="1:39" x14ac:dyDescent="0.2">
      <c r="A16" s="312" t="s">
        <v>10</v>
      </c>
      <c r="B16" s="312"/>
      <c r="C16" s="312"/>
      <c r="D16" s="312"/>
      <c r="E16" s="312"/>
      <c r="F16" s="312"/>
      <c r="G16" s="312"/>
      <c r="H16" s="3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row>
    <row r="17" spans="1:39"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row>
    <row r="18" spans="1:39" ht="18.75" x14ac:dyDescent="0.2">
      <c r="A18" s="321" t="s">
        <v>220</v>
      </c>
      <c r="B18" s="321"/>
      <c r="C18" s="321"/>
      <c r="D18" s="321"/>
      <c r="E18" s="321"/>
      <c r="F18" s="321"/>
      <c r="G18" s="321"/>
      <c r="H18" s="321"/>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row>
    <row r="19" spans="1:39" x14ac:dyDescent="0.2">
      <c r="A19" s="86"/>
      <c r="Q19" s="87"/>
    </row>
    <row r="20" spans="1:39" x14ac:dyDescent="0.2">
      <c r="A20" s="86"/>
      <c r="Q20" s="87"/>
    </row>
    <row r="21" spans="1:39" x14ac:dyDescent="0.2">
      <c r="A21" s="86"/>
      <c r="Q21" s="87"/>
    </row>
    <row r="22" spans="1:39" x14ac:dyDescent="0.2">
      <c r="A22" s="86"/>
      <c r="Q22" s="87"/>
    </row>
    <row r="23" spans="1:39" x14ac:dyDescent="0.2">
      <c r="D23" s="88"/>
      <c r="Q23" s="87"/>
    </row>
    <row r="24" spans="1:39" x14ac:dyDescent="0.2">
      <c r="A24" s="89" t="s">
        <v>221</v>
      </c>
      <c r="B24" s="90" t="s">
        <v>222</v>
      </c>
      <c r="D24" s="91"/>
      <c r="E24" s="92"/>
      <c r="F24" s="92"/>
      <c r="G24" s="92"/>
      <c r="H24" s="92"/>
    </row>
    <row r="25" spans="1:39" x14ac:dyDescent="0.2">
      <c r="A25" s="93" t="s">
        <v>223</v>
      </c>
      <c r="B25" s="94">
        <f>'6.2. Паспорт фин осв ввод'!AC52*1000000</f>
        <v>15733702</v>
      </c>
    </row>
    <row r="26" spans="1:39" x14ac:dyDescent="0.2">
      <c r="A26" s="95" t="s">
        <v>224</v>
      </c>
      <c r="B26" s="96">
        <v>0</v>
      </c>
    </row>
    <row r="27" spans="1:39" x14ac:dyDescent="0.2">
      <c r="A27" s="95" t="s">
        <v>225</v>
      </c>
      <c r="B27" s="96">
        <v>35</v>
      </c>
      <c r="D27" s="88" t="s">
        <v>226</v>
      </c>
    </row>
    <row r="28" spans="1:39" ht="16.149999999999999" customHeight="1" x14ac:dyDescent="0.2">
      <c r="A28" s="97" t="s">
        <v>227</v>
      </c>
      <c r="B28" s="98">
        <v>1</v>
      </c>
      <c r="D28" s="358" t="s">
        <v>228</v>
      </c>
      <c r="E28" s="359"/>
      <c r="F28" s="360"/>
      <c r="G28" s="361" t="str">
        <f t="shared" ref="G28:G29" si="0">IF(SUM(B89:L89)=0,"не окупается",SUM(B89:L89))</f>
        <v>не окупается</v>
      </c>
      <c r="H28" s="362"/>
    </row>
    <row r="29" spans="1:39" ht="15.6" customHeight="1" x14ac:dyDescent="0.2">
      <c r="A29" s="93" t="s">
        <v>229</v>
      </c>
      <c r="B29" s="94">
        <f>B25*0.01</f>
        <v>157337.01999999999</v>
      </c>
      <c r="D29" s="358" t="s">
        <v>230</v>
      </c>
      <c r="E29" s="359"/>
      <c r="F29" s="360"/>
      <c r="G29" s="361" t="str">
        <f t="shared" si="0"/>
        <v>не окупается</v>
      </c>
      <c r="H29" s="362"/>
    </row>
    <row r="30" spans="1:39" ht="27.6" customHeight="1" x14ac:dyDescent="0.2">
      <c r="A30" s="95" t="s">
        <v>231</v>
      </c>
      <c r="B30" s="96">
        <v>6</v>
      </c>
      <c r="D30" s="358" t="s">
        <v>232</v>
      </c>
      <c r="E30" s="359"/>
      <c r="F30" s="360"/>
      <c r="G30" s="363">
        <f>R87</f>
        <v>-6429136.7854946852</v>
      </c>
      <c r="H30" s="364"/>
    </row>
    <row r="31" spans="1:39" x14ac:dyDescent="0.2">
      <c r="A31" s="95" t="s">
        <v>233</v>
      </c>
      <c r="B31" s="96">
        <v>6</v>
      </c>
      <c r="D31" s="365"/>
      <c r="E31" s="366"/>
      <c r="F31" s="367"/>
      <c r="G31" s="365"/>
      <c r="H31" s="367"/>
    </row>
    <row r="32" spans="1:39" x14ac:dyDescent="0.2">
      <c r="A32" s="95" t="s">
        <v>234</v>
      </c>
      <c r="B32" s="96"/>
    </row>
    <row r="33" spans="1:41" x14ac:dyDescent="0.2">
      <c r="A33" s="95" t="s">
        <v>235</v>
      </c>
      <c r="B33" s="96"/>
    </row>
    <row r="34" spans="1:41" x14ac:dyDescent="0.2">
      <c r="A34" s="95" t="s">
        <v>236</v>
      </c>
      <c r="B34" s="96"/>
    </row>
    <row r="35" spans="1:41" x14ac:dyDescent="0.2">
      <c r="A35" s="99"/>
      <c r="B35" s="96"/>
    </row>
    <row r="36" spans="1:41" x14ac:dyDescent="0.2">
      <c r="A36" s="97" t="s">
        <v>237</v>
      </c>
      <c r="B36" s="100">
        <v>0.2</v>
      </c>
    </row>
    <row r="37" spans="1:41" x14ac:dyDescent="0.2">
      <c r="A37" s="93" t="s">
        <v>238</v>
      </c>
      <c r="B37" s="94">
        <v>0</v>
      </c>
    </row>
    <row r="38" spans="1:41" x14ac:dyDescent="0.2">
      <c r="A38" s="95" t="s">
        <v>239</v>
      </c>
      <c r="B38" s="96"/>
    </row>
    <row r="39" spans="1:41" x14ac:dyDescent="0.2">
      <c r="A39" s="101" t="s">
        <v>240</v>
      </c>
      <c r="B39" s="102"/>
    </row>
    <row r="40" spans="1:41" x14ac:dyDescent="0.2">
      <c r="A40" s="103" t="s">
        <v>241</v>
      </c>
      <c r="B40" s="104">
        <v>1</v>
      </c>
    </row>
    <row r="41" spans="1:41" x14ac:dyDescent="0.2">
      <c r="A41" s="105" t="s">
        <v>242</v>
      </c>
      <c r="B41" s="106"/>
    </row>
    <row r="42" spans="1:41" x14ac:dyDescent="0.2">
      <c r="A42" s="105" t="s">
        <v>243</v>
      </c>
      <c r="B42" s="107"/>
    </row>
    <row r="43" spans="1:41" x14ac:dyDescent="0.2">
      <c r="A43" s="105" t="s">
        <v>244</v>
      </c>
      <c r="B43" s="107">
        <v>0</v>
      </c>
    </row>
    <row r="44" spans="1:41" x14ac:dyDescent="0.2">
      <c r="A44" s="105" t="s">
        <v>245</v>
      </c>
      <c r="B44" s="107">
        <v>0.1371</v>
      </c>
    </row>
    <row r="45" spans="1:41" x14ac:dyDescent="0.2">
      <c r="A45" s="105" t="s">
        <v>246</v>
      </c>
      <c r="B45" s="107">
        <f>1-B43</f>
        <v>1</v>
      </c>
    </row>
    <row r="46" spans="1:41" x14ac:dyDescent="0.2">
      <c r="A46" s="108" t="s">
        <v>247</v>
      </c>
      <c r="B46" s="109">
        <f>B45*B44+B43*B42*(1-B36)</f>
        <v>0.1371</v>
      </c>
      <c r="C46" s="110"/>
    </row>
    <row r="47" spans="1:41" x14ac:dyDescent="0.2">
      <c r="A47" s="111" t="s">
        <v>248</v>
      </c>
      <c r="B47" s="112">
        <f>B58</f>
        <v>1</v>
      </c>
      <c r="C47" s="112">
        <f t="shared" ref="C47:AM47" si="1">C58</f>
        <v>2</v>
      </c>
      <c r="D47" s="112">
        <f t="shared" si="1"/>
        <v>3</v>
      </c>
      <c r="E47" s="112">
        <f t="shared" si="1"/>
        <v>4</v>
      </c>
      <c r="F47" s="112">
        <f t="shared" si="1"/>
        <v>5</v>
      </c>
      <c r="G47" s="112">
        <f t="shared" si="1"/>
        <v>6</v>
      </c>
      <c r="H47" s="112">
        <f t="shared" si="1"/>
        <v>7</v>
      </c>
      <c r="I47" s="112">
        <f t="shared" si="1"/>
        <v>8</v>
      </c>
      <c r="J47" s="112">
        <f t="shared" si="1"/>
        <v>9</v>
      </c>
      <c r="K47" s="112">
        <f t="shared" si="1"/>
        <v>10</v>
      </c>
      <c r="L47" s="112">
        <f t="shared" si="1"/>
        <v>11</v>
      </c>
      <c r="M47" s="112">
        <f t="shared" si="1"/>
        <v>12</v>
      </c>
      <c r="N47" s="112">
        <f t="shared" si="1"/>
        <v>13</v>
      </c>
      <c r="O47" s="112">
        <f t="shared" si="1"/>
        <v>14</v>
      </c>
      <c r="P47" s="112">
        <f t="shared" si="1"/>
        <v>15</v>
      </c>
      <c r="Q47" s="112">
        <f t="shared" si="1"/>
        <v>16</v>
      </c>
      <c r="R47" s="112">
        <f t="shared" si="1"/>
        <v>17</v>
      </c>
      <c r="S47" s="112">
        <f t="shared" si="1"/>
        <v>18</v>
      </c>
      <c r="T47" s="112">
        <f t="shared" si="1"/>
        <v>19</v>
      </c>
      <c r="U47" s="112">
        <f t="shared" si="1"/>
        <v>20</v>
      </c>
      <c r="V47" s="112">
        <f t="shared" si="1"/>
        <v>21</v>
      </c>
      <c r="W47" s="112">
        <f t="shared" si="1"/>
        <v>22</v>
      </c>
      <c r="X47" s="112">
        <f t="shared" si="1"/>
        <v>23</v>
      </c>
      <c r="Y47" s="112">
        <f t="shared" si="1"/>
        <v>24</v>
      </c>
      <c r="Z47" s="112">
        <f t="shared" si="1"/>
        <v>25</v>
      </c>
      <c r="AA47" s="112">
        <f t="shared" si="1"/>
        <v>26</v>
      </c>
      <c r="AB47" s="112">
        <f t="shared" si="1"/>
        <v>27</v>
      </c>
      <c r="AC47" s="112">
        <f t="shared" si="1"/>
        <v>28</v>
      </c>
      <c r="AD47" s="112">
        <f t="shared" si="1"/>
        <v>29</v>
      </c>
      <c r="AE47" s="112">
        <f t="shared" si="1"/>
        <v>30</v>
      </c>
      <c r="AF47" s="112">
        <f t="shared" si="1"/>
        <v>31</v>
      </c>
      <c r="AG47" s="112">
        <f t="shared" si="1"/>
        <v>32</v>
      </c>
      <c r="AH47" s="112">
        <f t="shared" si="1"/>
        <v>33</v>
      </c>
      <c r="AI47" s="112">
        <f t="shared" si="1"/>
        <v>34</v>
      </c>
      <c r="AJ47" s="112">
        <f t="shared" si="1"/>
        <v>35</v>
      </c>
      <c r="AK47" s="112">
        <f t="shared" si="1"/>
        <v>36</v>
      </c>
      <c r="AL47" s="112">
        <f t="shared" si="1"/>
        <v>37</v>
      </c>
      <c r="AM47" s="112">
        <f t="shared" si="1"/>
        <v>38</v>
      </c>
      <c r="AN47" s="112">
        <f t="shared" ref="AN47:AO47" si="2">AN58</f>
        <v>39</v>
      </c>
      <c r="AO47" s="112">
        <f t="shared" si="2"/>
        <v>40</v>
      </c>
    </row>
    <row r="48" spans="1:41" x14ac:dyDescent="0.2">
      <c r="A48" s="113" t="s">
        <v>249</v>
      </c>
      <c r="B48" s="114">
        <f t="shared" ref="B48:B49" si="3">B131</f>
        <v>6.8263986418270001E-2</v>
      </c>
      <c r="C48" s="114">
        <f t="shared" ref="C48:AM49" si="4">C131</f>
        <v>5.561885224957E-2</v>
      </c>
      <c r="D48" s="114">
        <f t="shared" si="4"/>
        <v>4.9354000000000002E-2</v>
      </c>
      <c r="E48" s="114">
        <f t="shared" si="4"/>
        <v>0.14631427330593999</v>
      </c>
      <c r="F48" s="114">
        <f t="shared" si="4"/>
        <v>9.0964662608273128E-2</v>
      </c>
      <c r="G48" s="114">
        <f>G131</f>
        <v>9.1135032622053413E-2</v>
      </c>
      <c r="H48" s="114">
        <f t="shared" si="4"/>
        <v>7.8163170639641913E-2</v>
      </c>
      <c r="I48" s="114">
        <f t="shared" si="4"/>
        <v>5.2628968689616612E-2</v>
      </c>
      <c r="J48" s="114">
        <f t="shared" si="4"/>
        <v>4.4208979893394937E-2</v>
      </c>
      <c r="K48" s="114">
        <f t="shared" si="4"/>
        <v>4.4208979893394937E-2</v>
      </c>
      <c r="L48" s="114">
        <f t="shared" si="4"/>
        <v>4.4208979893394937E-2</v>
      </c>
      <c r="M48" s="114">
        <f t="shared" si="4"/>
        <v>4.4208979893394937E-2</v>
      </c>
      <c r="N48" s="114">
        <f t="shared" si="4"/>
        <v>4.4208979893394937E-2</v>
      </c>
      <c r="O48" s="114">
        <f t="shared" si="4"/>
        <v>4.4208979893394937E-2</v>
      </c>
      <c r="P48" s="114">
        <f t="shared" si="4"/>
        <v>4.4208979893394937E-2</v>
      </c>
      <c r="Q48" s="114">
        <f t="shared" si="4"/>
        <v>4.4208979893394937E-2</v>
      </c>
      <c r="R48" s="114">
        <f t="shared" si="4"/>
        <v>4.4208979893394937E-2</v>
      </c>
      <c r="S48" s="114">
        <f t="shared" si="4"/>
        <v>4.4208979893394937E-2</v>
      </c>
      <c r="T48" s="114">
        <f t="shared" si="4"/>
        <v>4.4208979893394937E-2</v>
      </c>
      <c r="U48" s="114">
        <f t="shared" si="4"/>
        <v>4.4208979893394937E-2</v>
      </c>
      <c r="V48" s="114">
        <f t="shared" si="4"/>
        <v>4.4208979893394937E-2</v>
      </c>
      <c r="W48" s="114">
        <f t="shared" si="4"/>
        <v>4.4208979893394937E-2</v>
      </c>
      <c r="X48" s="114">
        <f t="shared" si="4"/>
        <v>4.4208979893394937E-2</v>
      </c>
      <c r="Y48" s="114">
        <f t="shared" si="4"/>
        <v>4.4208979893394937E-2</v>
      </c>
      <c r="Z48" s="114">
        <f t="shared" si="4"/>
        <v>4.4208979893394937E-2</v>
      </c>
      <c r="AA48" s="114">
        <f t="shared" si="4"/>
        <v>4.4208979893394937E-2</v>
      </c>
      <c r="AB48" s="114">
        <f t="shared" si="4"/>
        <v>4.4208979893394937E-2</v>
      </c>
      <c r="AC48" s="114">
        <f t="shared" si="4"/>
        <v>4.4208979893394937E-2</v>
      </c>
      <c r="AD48" s="114">
        <f t="shared" si="4"/>
        <v>4.4208979893394937E-2</v>
      </c>
      <c r="AE48" s="114">
        <f t="shared" si="4"/>
        <v>4.4208979893394937E-2</v>
      </c>
      <c r="AF48" s="114">
        <f t="shared" si="4"/>
        <v>4.4208979893394937E-2</v>
      </c>
      <c r="AG48" s="114">
        <f t="shared" si="4"/>
        <v>4.4208979893394937E-2</v>
      </c>
      <c r="AH48" s="114">
        <f t="shared" si="4"/>
        <v>4.4208979893394937E-2</v>
      </c>
      <c r="AI48" s="114">
        <f t="shared" si="4"/>
        <v>4.4208979893394937E-2</v>
      </c>
      <c r="AJ48" s="114">
        <f t="shared" si="4"/>
        <v>4.4208979893394937E-2</v>
      </c>
      <c r="AK48" s="114">
        <f t="shared" si="4"/>
        <v>4.4208979893394937E-2</v>
      </c>
      <c r="AL48" s="114">
        <f t="shared" si="4"/>
        <v>4.4208979893394937E-2</v>
      </c>
      <c r="AM48" s="114">
        <f t="shared" si="4"/>
        <v>4.4208979893394937E-2</v>
      </c>
      <c r="AN48" s="114">
        <f t="shared" ref="AN48:AO49" si="5">AN131</f>
        <v>4.4208979893394937E-2</v>
      </c>
      <c r="AO48" s="114">
        <f t="shared" si="5"/>
        <v>4.4208979893394937E-2</v>
      </c>
    </row>
    <row r="49" spans="1:41" x14ac:dyDescent="0.2">
      <c r="A49" s="113" t="s">
        <v>250</v>
      </c>
      <c r="B49" s="114">
        <f t="shared" si="3"/>
        <v>6.8263986418270001E-2</v>
      </c>
      <c r="C49" s="114">
        <f t="shared" si="4"/>
        <v>0.12767960324240435</v>
      </c>
      <c r="D49" s="114">
        <f t="shared" si="4"/>
        <v>0.18333510238082984</v>
      </c>
      <c r="E49" s="114">
        <f t="shared" si="4"/>
        <v>0.35647391796309091</v>
      </c>
      <c r="F49" s="114">
        <f t="shared" si="4"/>
        <v>0.47986511024752598</v>
      </c>
      <c r="G49" s="114">
        <f t="shared" si="4"/>
        <v>0.6147326653461731</v>
      </c>
      <c r="H49" s="114">
        <f t="shared" si="4"/>
        <v>0.74094529020502997</v>
      </c>
      <c r="I49" s="114">
        <f t="shared" si="4"/>
        <v>0.83256944537356614</v>
      </c>
      <c r="J49" s="114">
        <f t="shared" si="4"/>
        <v>0.9135854711373359</v>
      </c>
      <c r="K49" s="114">
        <f t="shared" si="4"/>
        <v>0.99818313275513892</v>
      </c>
      <c r="L49" s="114">
        <f t="shared" si="4"/>
        <v>1.0865207706944315</v>
      </c>
      <c r="M49" s="114">
        <f t="shared" si="4"/>
        <v>1.1787637254932126</v>
      </c>
      <c r="N49" s="114">
        <f t="shared" si="4"/>
        <v>1.275084647226</v>
      </c>
      <c r="O49" s="114">
        <f t="shared" si="4"/>
        <v>1.3756638186509855</v>
      </c>
      <c r="P49" s="114">
        <f t="shared" si="4"/>
        <v>1.4806894926431928</v>
      </c>
      <c r="Q49" s="114">
        <f t="shared" si="4"/>
        <v>1.5903582445452118</v>
      </c>
      <c r="R49" s="114">
        <f t="shared" si="4"/>
        <v>1.704875340095001</v>
      </c>
      <c r="S49" s="114">
        <f t="shared" si="4"/>
        <v>1.8244551196194005</v>
      </c>
      <c r="T49" s="114">
        <f t="shared" si="4"/>
        <v>1.949321399212451</v>
      </c>
      <c r="U49" s="114">
        <f t="shared" si="4"/>
        <v>2.0797078896493937</v>
      </c>
      <c r="V49" s="114">
        <f t="shared" si="4"/>
        <v>2.2158586338204334</v>
      </c>
      <c r="W49" s="114">
        <f t="shared" si="4"/>
        <v>2.3580284635030013</v>
      </c>
      <c r="X49" s="114">
        <f t="shared" si="4"/>
        <v>2.5064834763274533</v>
      </c>
      <c r="Y49" s="114">
        <f t="shared" si="4"/>
        <v>2.6615015338289352</v>
      </c>
      <c r="Z49" s="114">
        <f t="shared" si="4"/>
        <v>2.8233727815176133</v>
      </c>
      <c r="AA49" s="114">
        <f t="shared" si="4"/>
        <v>2.9924001919406789</v>
      </c>
      <c r="AB49" s="114">
        <f t="shared" si="4"/>
        <v>3.1689001317525705</v>
      </c>
      <c r="AC49" s="114">
        <f t="shared" si="4"/>
        <v>3.3532029538547912</v>
      </c>
      <c r="AD49" s="114">
        <f t="shared" si="4"/>
        <v>3.5456536157136247</v>
      </c>
      <c r="AE49" s="114">
        <f t="shared" si="4"/>
        <v>3.7466123250130465</v>
      </c>
      <c r="AF49" s="114">
        <f t="shared" si="4"/>
        <v>3.9564552138512887</v>
      </c>
      <c r="AG49" s="114">
        <f t="shared" si="4"/>
        <v>4.1755750427429525</v>
      </c>
      <c r="AH49" s="114">
        <f t="shared" si="4"/>
        <v>4.4043819357443326</v>
      </c>
      <c r="AI49" s="114">
        <f t="shared" si="4"/>
        <v>4.6433041480778803</v>
      </c>
      <c r="AJ49" s="114">
        <f t="shared" si="4"/>
        <v>4.892788867692567</v>
      </c>
      <c r="AK49" s="114">
        <f t="shared" si="4"/>
        <v>5.1533030522604086</v>
      </c>
      <c r="AL49" s="114">
        <f t="shared" si="4"/>
        <v>5.4253343031757542</v>
      </c>
      <c r="AM49" s="114">
        <f t="shared" si="4"/>
        <v>5.7093917781931918</v>
      </c>
      <c r="AN49" s="114">
        <f t="shared" si="5"/>
        <v>6.0060071444122434</v>
      </c>
      <c r="AO49" s="114">
        <f t="shared" si="5"/>
        <v>6.3157355733925451</v>
      </c>
    </row>
    <row r="50" spans="1:41" x14ac:dyDescent="0.2">
      <c r="A50" s="115" t="s">
        <v>251</v>
      </c>
      <c r="B50" s="116">
        <f>IF($B$119="да",($B$121-0.05),0)</f>
        <v>0</v>
      </c>
      <c r="C50" s="116">
        <f t="shared" ref="C50:AM50" si="6">C101*(1+C49)</f>
        <v>0</v>
      </c>
      <c r="D50" s="116">
        <f t="shared" si="6"/>
        <v>0</v>
      </c>
      <c r="E50" s="116">
        <f t="shared" si="6"/>
        <v>0</v>
      </c>
      <c r="F50" s="116">
        <f t="shared" si="6"/>
        <v>0</v>
      </c>
      <c r="G50" s="116">
        <f t="shared" si="6"/>
        <v>0</v>
      </c>
      <c r="H50" s="116">
        <f>(H101+H102)*(1+H49)</f>
        <v>0</v>
      </c>
      <c r="I50" s="116">
        <f>(I101+I102)*(1+I49)</f>
        <v>1487099.7346251595</v>
      </c>
      <c r="J50" s="116">
        <f t="shared" si="6"/>
        <v>592665.82467890205</v>
      </c>
      <c r="K50" s="116">
        <f t="shared" si="6"/>
        <v>643928.0021066349</v>
      </c>
      <c r="L50" s="116">
        <f t="shared" si="6"/>
        <v>699292.11274914432</v>
      </c>
      <c r="M50" s="116">
        <f t="shared" si="6"/>
        <v>730207.1037012809</v>
      </c>
      <c r="N50" s="116">
        <f t="shared" si="6"/>
        <v>762488.81486682489</v>
      </c>
      <c r="O50" s="116">
        <f t="shared" si="6"/>
        <v>796197.66755221074</v>
      </c>
      <c r="P50" s="116">
        <f t="shared" si="6"/>
        <v>831396.75422819436</v>
      </c>
      <c r="Q50" s="116">
        <f t="shared" si="6"/>
        <v>868151.95661930251</v>
      </c>
      <c r="R50" s="116">
        <f t="shared" si="6"/>
        <v>906532.06901389675</v>
      </c>
      <c r="S50" s="116">
        <f t="shared" si="6"/>
        <v>946608.9270256497</v>
      </c>
      <c r="T50" s="116">
        <f t="shared" si="6"/>
        <v>988457.54204743484</v>
      </c>
      <c r="U50" s="116">
        <f t="shared" si="6"/>
        <v>1032156.2416492845</v>
      </c>
      <c r="V50" s="116">
        <f t="shared" si="6"/>
        <v>1077786.8161831996</v>
      </c>
      <c r="W50" s="116">
        <f t="shared" si="6"/>
        <v>1125434.671869209</v>
      </c>
      <c r="X50" s="116">
        <f t="shared" si="6"/>
        <v>1175188.9906492042</v>
      </c>
      <c r="Y50" s="116">
        <f t="shared" si="6"/>
        <v>1227142.8971077539</v>
      </c>
      <c r="Z50" s="116">
        <f t="shared" si="6"/>
        <v>1281393.6327723132</v>
      </c>
      <c r="AA50" s="116">
        <f t="shared" si="6"/>
        <v>1338042.7381190686</v>
      </c>
      <c r="AB50" s="116">
        <f t="shared" si="6"/>
        <v>1397196.2426250777</v>
      </c>
      <c r="AC50" s="116">
        <f t="shared" si="6"/>
        <v>1458964.8632224165</v>
      </c>
      <c r="AD50" s="116">
        <f t="shared" si="6"/>
        <v>1523464.211525786</v>
      </c>
      <c r="AE50" s="116">
        <f t="shared" si="6"/>
        <v>1590815.0102214362</v>
      </c>
      <c r="AF50" s="116">
        <f t="shared" si="6"/>
        <v>1661143.3190224266</v>
      </c>
      <c r="AG50" s="116">
        <f t="shared" si="6"/>
        <v>1734580.7706131362</v>
      </c>
      <c r="AH50" s="116">
        <f t="shared" si="6"/>
        <v>1811264.8170246419</v>
      </c>
      <c r="AI50" s="116">
        <f t="shared" si="6"/>
        <v>1891338.9869020979</v>
      </c>
      <c r="AJ50" s="116">
        <f t="shared" si="6"/>
        <v>1974953.1541456466</v>
      </c>
      <c r="AK50" s="116">
        <f t="shared" si="6"/>
        <v>2062263.8184276682</v>
      </c>
      <c r="AL50" s="116">
        <f t="shared" si="6"/>
        <v>2153434.3981114123</v>
      </c>
      <c r="AM50" s="116">
        <f t="shared" si="6"/>
        <v>2248635.536119265</v>
      </c>
      <c r="AN50" s="116">
        <f>AN101*(1+AN49)</f>
        <v>2348045.4193231347</v>
      </c>
      <c r="AO50" s="116">
        <f>AO101*(1+AO49)</f>
        <v>2451850.1120547689</v>
      </c>
    </row>
    <row r="51" spans="1:41" x14ac:dyDescent="0.2">
      <c r="AN51" s="84"/>
      <c r="AO51" s="84"/>
    </row>
    <row r="52" spans="1:41" x14ac:dyDescent="0.2">
      <c r="A52" s="117" t="s">
        <v>252</v>
      </c>
      <c r="B52" s="118">
        <f>B58</f>
        <v>1</v>
      </c>
      <c r="C52" s="118">
        <f t="shared" ref="C52:AM52" si="7">C58</f>
        <v>2</v>
      </c>
      <c r="D52" s="118">
        <f t="shared" si="7"/>
        <v>3</v>
      </c>
      <c r="E52" s="118">
        <f t="shared" si="7"/>
        <v>4</v>
      </c>
      <c r="F52" s="118">
        <f t="shared" si="7"/>
        <v>5</v>
      </c>
      <c r="G52" s="118">
        <f t="shared" si="7"/>
        <v>6</v>
      </c>
      <c r="H52" s="118">
        <f t="shared" si="7"/>
        <v>7</v>
      </c>
      <c r="I52" s="118">
        <f t="shared" si="7"/>
        <v>8</v>
      </c>
      <c r="J52" s="118">
        <f t="shared" si="7"/>
        <v>9</v>
      </c>
      <c r="K52" s="118">
        <f t="shared" si="7"/>
        <v>10</v>
      </c>
      <c r="L52" s="118">
        <f t="shared" si="7"/>
        <v>11</v>
      </c>
      <c r="M52" s="118">
        <f t="shared" si="7"/>
        <v>12</v>
      </c>
      <c r="N52" s="118">
        <f t="shared" si="7"/>
        <v>13</v>
      </c>
      <c r="O52" s="118">
        <f t="shared" si="7"/>
        <v>14</v>
      </c>
      <c r="P52" s="118">
        <f t="shared" si="7"/>
        <v>15</v>
      </c>
      <c r="Q52" s="118">
        <f t="shared" si="7"/>
        <v>16</v>
      </c>
      <c r="R52" s="118">
        <f t="shared" si="7"/>
        <v>17</v>
      </c>
      <c r="S52" s="118">
        <f t="shared" si="7"/>
        <v>18</v>
      </c>
      <c r="T52" s="118">
        <f t="shared" si="7"/>
        <v>19</v>
      </c>
      <c r="U52" s="118">
        <f t="shared" si="7"/>
        <v>20</v>
      </c>
      <c r="V52" s="118">
        <f t="shared" si="7"/>
        <v>21</v>
      </c>
      <c r="W52" s="118">
        <f t="shared" si="7"/>
        <v>22</v>
      </c>
      <c r="X52" s="118">
        <f t="shared" si="7"/>
        <v>23</v>
      </c>
      <c r="Y52" s="118">
        <f t="shared" si="7"/>
        <v>24</v>
      </c>
      <c r="Z52" s="118">
        <f t="shared" si="7"/>
        <v>25</v>
      </c>
      <c r="AA52" s="118">
        <f t="shared" si="7"/>
        <v>26</v>
      </c>
      <c r="AB52" s="118">
        <f t="shared" si="7"/>
        <v>27</v>
      </c>
      <c r="AC52" s="118">
        <f t="shared" si="7"/>
        <v>28</v>
      </c>
      <c r="AD52" s="118">
        <f t="shared" si="7"/>
        <v>29</v>
      </c>
      <c r="AE52" s="118">
        <f t="shared" si="7"/>
        <v>30</v>
      </c>
      <c r="AF52" s="118">
        <f t="shared" si="7"/>
        <v>31</v>
      </c>
      <c r="AG52" s="118">
        <f t="shared" si="7"/>
        <v>32</v>
      </c>
      <c r="AH52" s="118">
        <f t="shared" si="7"/>
        <v>33</v>
      </c>
      <c r="AI52" s="118">
        <f t="shared" si="7"/>
        <v>34</v>
      </c>
      <c r="AJ52" s="118">
        <f t="shared" si="7"/>
        <v>35</v>
      </c>
      <c r="AK52" s="118">
        <f t="shared" si="7"/>
        <v>36</v>
      </c>
      <c r="AL52" s="118">
        <f t="shared" si="7"/>
        <v>37</v>
      </c>
      <c r="AM52" s="118">
        <f t="shared" si="7"/>
        <v>38</v>
      </c>
      <c r="AN52" s="118">
        <f t="shared" ref="AN52:AO52" si="8">AN58</f>
        <v>39</v>
      </c>
      <c r="AO52" s="118">
        <f t="shared" si="8"/>
        <v>40</v>
      </c>
    </row>
    <row r="53" spans="1:41" x14ac:dyDescent="0.2">
      <c r="A53" s="119" t="s">
        <v>253</v>
      </c>
      <c r="B53" s="120">
        <v>0</v>
      </c>
      <c r="C53" s="120">
        <f t="shared" ref="C53:AM53" si="9">B53+B54-B55</f>
        <v>0</v>
      </c>
      <c r="D53" s="120">
        <f t="shared" si="9"/>
        <v>0</v>
      </c>
      <c r="E53" s="120">
        <f t="shared" si="9"/>
        <v>0</v>
      </c>
      <c r="F53" s="120">
        <f t="shared" si="9"/>
        <v>0</v>
      </c>
      <c r="G53" s="120">
        <f t="shared" si="9"/>
        <v>0</v>
      </c>
      <c r="H53" s="120">
        <f t="shared" si="9"/>
        <v>0</v>
      </c>
      <c r="I53" s="120">
        <f t="shared" si="9"/>
        <v>0</v>
      </c>
      <c r="J53" s="120">
        <f t="shared" si="9"/>
        <v>0</v>
      </c>
      <c r="K53" s="120">
        <f t="shared" si="9"/>
        <v>0</v>
      </c>
      <c r="L53" s="120">
        <f t="shared" si="9"/>
        <v>0</v>
      </c>
      <c r="M53" s="120">
        <f t="shared" si="9"/>
        <v>0</v>
      </c>
      <c r="N53" s="120">
        <f t="shared" si="9"/>
        <v>0</v>
      </c>
      <c r="O53" s="120">
        <f t="shared" si="9"/>
        <v>0</v>
      </c>
      <c r="P53" s="120">
        <f t="shared" si="9"/>
        <v>0</v>
      </c>
      <c r="Q53" s="120">
        <f t="shared" si="9"/>
        <v>0</v>
      </c>
      <c r="R53" s="120">
        <f t="shared" si="9"/>
        <v>0</v>
      </c>
      <c r="S53" s="120">
        <f t="shared" si="9"/>
        <v>0</v>
      </c>
      <c r="T53" s="120">
        <f t="shared" si="9"/>
        <v>0</v>
      </c>
      <c r="U53" s="120">
        <f t="shared" si="9"/>
        <v>0</v>
      </c>
      <c r="V53" s="120">
        <f t="shared" si="9"/>
        <v>0</v>
      </c>
      <c r="W53" s="120">
        <f t="shared" si="9"/>
        <v>0</v>
      </c>
      <c r="X53" s="120">
        <f t="shared" si="9"/>
        <v>0</v>
      </c>
      <c r="Y53" s="120">
        <f t="shared" si="9"/>
        <v>0</v>
      </c>
      <c r="Z53" s="120">
        <f t="shared" si="9"/>
        <v>0</v>
      </c>
      <c r="AA53" s="120">
        <f t="shared" si="9"/>
        <v>0</v>
      </c>
      <c r="AB53" s="120">
        <f t="shared" si="9"/>
        <v>0</v>
      </c>
      <c r="AC53" s="120">
        <f t="shared" si="9"/>
        <v>0</v>
      </c>
      <c r="AD53" s="120">
        <f t="shared" si="9"/>
        <v>0</v>
      </c>
      <c r="AE53" s="120">
        <f t="shared" si="9"/>
        <v>0</v>
      </c>
      <c r="AF53" s="120">
        <f t="shared" si="9"/>
        <v>0</v>
      </c>
      <c r="AG53" s="120">
        <f t="shared" si="9"/>
        <v>0</v>
      </c>
      <c r="AH53" s="120">
        <f t="shared" si="9"/>
        <v>0</v>
      </c>
      <c r="AI53" s="120">
        <f t="shared" si="9"/>
        <v>0</v>
      </c>
      <c r="AJ53" s="120">
        <f t="shared" si="9"/>
        <v>0</v>
      </c>
      <c r="AK53" s="120">
        <f t="shared" si="9"/>
        <v>0</v>
      </c>
      <c r="AL53" s="120">
        <f t="shared" si="9"/>
        <v>0</v>
      </c>
      <c r="AM53" s="120">
        <f t="shared" si="9"/>
        <v>0</v>
      </c>
      <c r="AN53" s="120">
        <f>AM53+AM54-AM55</f>
        <v>0</v>
      </c>
      <c r="AO53" s="120">
        <f>AN53+AN54-AN55</f>
        <v>0</v>
      </c>
    </row>
    <row r="54" spans="1:41" x14ac:dyDescent="0.2">
      <c r="A54" s="119" t="s">
        <v>254</v>
      </c>
      <c r="B54" s="120">
        <f>B25*B28*B43*1.18</f>
        <v>0</v>
      </c>
      <c r="C54" s="120">
        <v>0</v>
      </c>
      <c r="D54" s="120">
        <v>0</v>
      </c>
      <c r="E54" s="120">
        <v>0</v>
      </c>
      <c r="F54" s="120">
        <v>0</v>
      </c>
      <c r="G54" s="120">
        <v>0</v>
      </c>
      <c r="H54" s="120">
        <v>0</v>
      </c>
      <c r="I54" s="120">
        <v>0</v>
      </c>
      <c r="J54" s="120">
        <v>0</v>
      </c>
      <c r="K54" s="120">
        <v>0</v>
      </c>
      <c r="L54" s="120">
        <v>0</v>
      </c>
      <c r="M54" s="120">
        <v>0</v>
      </c>
      <c r="N54" s="120">
        <v>0</v>
      </c>
      <c r="O54" s="120">
        <v>0</v>
      </c>
      <c r="P54" s="120">
        <v>0</v>
      </c>
      <c r="Q54" s="120">
        <v>0</v>
      </c>
      <c r="R54" s="120">
        <v>0</v>
      </c>
      <c r="S54" s="120">
        <v>0</v>
      </c>
      <c r="T54" s="120">
        <v>0</v>
      </c>
      <c r="U54" s="120">
        <v>0</v>
      </c>
      <c r="V54" s="120">
        <v>0</v>
      </c>
      <c r="W54" s="120">
        <v>0</v>
      </c>
      <c r="X54" s="120">
        <v>0</v>
      </c>
      <c r="Y54" s="120">
        <v>0</v>
      </c>
      <c r="Z54" s="120">
        <v>0</v>
      </c>
      <c r="AA54" s="120">
        <v>0</v>
      </c>
      <c r="AB54" s="120">
        <v>0</v>
      </c>
      <c r="AC54" s="120">
        <v>0</v>
      </c>
      <c r="AD54" s="120">
        <v>0</v>
      </c>
      <c r="AE54" s="120">
        <v>0</v>
      </c>
      <c r="AF54" s="120">
        <v>0</v>
      </c>
      <c r="AG54" s="120">
        <v>0</v>
      </c>
      <c r="AH54" s="120">
        <v>0</v>
      </c>
      <c r="AI54" s="120">
        <v>0</v>
      </c>
      <c r="AJ54" s="120">
        <v>0</v>
      </c>
      <c r="AK54" s="120">
        <v>0</v>
      </c>
      <c r="AL54" s="120">
        <v>0</v>
      </c>
      <c r="AM54" s="120">
        <v>0</v>
      </c>
      <c r="AN54" s="120">
        <v>0</v>
      </c>
      <c r="AO54" s="120">
        <v>0</v>
      </c>
    </row>
    <row r="55" spans="1:41" x14ac:dyDescent="0.2">
      <c r="A55" s="119" t="s">
        <v>255</v>
      </c>
      <c r="B55" s="120">
        <f>$B$54/$B$40</f>
        <v>0</v>
      </c>
      <c r="C55" s="120">
        <f t="shared" ref="C55:AM55" si="10">IF(ROUND(C53,1)=0,0,B55+C54/$B$40)</f>
        <v>0</v>
      </c>
      <c r="D55" s="120">
        <f t="shared" si="10"/>
        <v>0</v>
      </c>
      <c r="E55" s="120">
        <f t="shared" si="10"/>
        <v>0</v>
      </c>
      <c r="F55" s="120">
        <f t="shared" si="10"/>
        <v>0</v>
      </c>
      <c r="G55" s="120">
        <f t="shared" si="10"/>
        <v>0</v>
      </c>
      <c r="H55" s="120">
        <f t="shared" si="10"/>
        <v>0</v>
      </c>
      <c r="I55" s="120">
        <f t="shared" si="10"/>
        <v>0</v>
      </c>
      <c r="J55" s="120">
        <f t="shared" si="10"/>
        <v>0</v>
      </c>
      <c r="K55" s="120">
        <f t="shared" si="10"/>
        <v>0</v>
      </c>
      <c r="L55" s="120">
        <f t="shared" si="10"/>
        <v>0</v>
      </c>
      <c r="M55" s="120">
        <f t="shared" si="10"/>
        <v>0</v>
      </c>
      <c r="N55" s="120">
        <f t="shared" si="10"/>
        <v>0</v>
      </c>
      <c r="O55" s="120">
        <f t="shared" si="10"/>
        <v>0</v>
      </c>
      <c r="P55" s="120">
        <f t="shared" si="10"/>
        <v>0</v>
      </c>
      <c r="Q55" s="120">
        <f t="shared" si="10"/>
        <v>0</v>
      </c>
      <c r="R55" s="120">
        <f t="shared" si="10"/>
        <v>0</v>
      </c>
      <c r="S55" s="120">
        <f t="shared" si="10"/>
        <v>0</v>
      </c>
      <c r="T55" s="120">
        <f t="shared" si="10"/>
        <v>0</v>
      </c>
      <c r="U55" s="120">
        <f t="shared" si="10"/>
        <v>0</v>
      </c>
      <c r="V55" s="120">
        <f t="shared" si="10"/>
        <v>0</v>
      </c>
      <c r="W55" s="120">
        <f t="shared" si="10"/>
        <v>0</v>
      </c>
      <c r="X55" s="120">
        <f t="shared" si="10"/>
        <v>0</v>
      </c>
      <c r="Y55" s="120">
        <f t="shared" si="10"/>
        <v>0</v>
      </c>
      <c r="Z55" s="120">
        <f t="shared" si="10"/>
        <v>0</v>
      </c>
      <c r="AA55" s="120">
        <f t="shared" si="10"/>
        <v>0</v>
      </c>
      <c r="AB55" s="120">
        <f t="shared" si="10"/>
        <v>0</v>
      </c>
      <c r="AC55" s="120">
        <f t="shared" si="10"/>
        <v>0</v>
      </c>
      <c r="AD55" s="120">
        <f t="shared" si="10"/>
        <v>0</v>
      </c>
      <c r="AE55" s="120">
        <f t="shared" si="10"/>
        <v>0</v>
      </c>
      <c r="AF55" s="120">
        <f t="shared" si="10"/>
        <v>0</v>
      </c>
      <c r="AG55" s="120">
        <f t="shared" si="10"/>
        <v>0</v>
      </c>
      <c r="AH55" s="120">
        <f t="shared" si="10"/>
        <v>0</v>
      </c>
      <c r="AI55" s="120">
        <f t="shared" si="10"/>
        <v>0</v>
      </c>
      <c r="AJ55" s="120">
        <f t="shared" si="10"/>
        <v>0</v>
      </c>
      <c r="AK55" s="120">
        <f t="shared" si="10"/>
        <v>0</v>
      </c>
      <c r="AL55" s="120">
        <f t="shared" si="10"/>
        <v>0</v>
      </c>
      <c r="AM55" s="120">
        <f t="shared" si="10"/>
        <v>0</v>
      </c>
      <c r="AN55" s="120">
        <f>IF(ROUND(AN53,1)=0,0,AM55+AN54/$B$40)</f>
        <v>0</v>
      </c>
      <c r="AO55" s="120">
        <f>IF(ROUND(AO53,1)=0,0,AN55+AO54/$B$40)</f>
        <v>0</v>
      </c>
    </row>
    <row r="56" spans="1:41" x14ac:dyDescent="0.2">
      <c r="A56" s="121" t="s">
        <v>256</v>
      </c>
      <c r="B56" s="122">
        <f t="shared" ref="B56:AM56" si="11">AVERAGE(SUM(B53:B54),(SUM(B53:B54)-B55))*$B$42</f>
        <v>0</v>
      </c>
      <c r="C56" s="122">
        <f t="shared" si="11"/>
        <v>0</v>
      </c>
      <c r="D56" s="122">
        <f t="shared" si="11"/>
        <v>0</v>
      </c>
      <c r="E56" s="122">
        <f t="shared" si="11"/>
        <v>0</v>
      </c>
      <c r="F56" s="122">
        <f t="shared" si="11"/>
        <v>0</v>
      </c>
      <c r="G56" s="122">
        <f t="shared" si="11"/>
        <v>0</v>
      </c>
      <c r="H56" s="122">
        <f t="shared" si="11"/>
        <v>0</v>
      </c>
      <c r="I56" s="122">
        <f t="shared" si="11"/>
        <v>0</v>
      </c>
      <c r="J56" s="122">
        <f t="shared" si="11"/>
        <v>0</v>
      </c>
      <c r="K56" s="122">
        <f t="shared" si="11"/>
        <v>0</v>
      </c>
      <c r="L56" s="122">
        <f t="shared" si="11"/>
        <v>0</v>
      </c>
      <c r="M56" s="122">
        <f t="shared" si="11"/>
        <v>0</v>
      </c>
      <c r="N56" s="122">
        <f t="shared" si="11"/>
        <v>0</v>
      </c>
      <c r="O56" s="122">
        <f t="shared" si="11"/>
        <v>0</v>
      </c>
      <c r="P56" s="122">
        <f t="shared" si="11"/>
        <v>0</v>
      </c>
      <c r="Q56" s="122">
        <f t="shared" si="11"/>
        <v>0</v>
      </c>
      <c r="R56" s="122">
        <f t="shared" si="11"/>
        <v>0</v>
      </c>
      <c r="S56" s="122">
        <f t="shared" si="11"/>
        <v>0</v>
      </c>
      <c r="T56" s="122">
        <f t="shared" si="11"/>
        <v>0</v>
      </c>
      <c r="U56" s="122">
        <f t="shared" si="11"/>
        <v>0</v>
      </c>
      <c r="V56" s="122">
        <f t="shared" si="11"/>
        <v>0</v>
      </c>
      <c r="W56" s="122">
        <f t="shared" si="11"/>
        <v>0</v>
      </c>
      <c r="X56" s="122">
        <f t="shared" si="11"/>
        <v>0</v>
      </c>
      <c r="Y56" s="122">
        <f t="shared" si="11"/>
        <v>0</v>
      </c>
      <c r="Z56" s="122">
        <f t="shared" si="11"/>
        <v>0</v>
      </c>
      <c r="AA56" s="122">
        <f t="shared" si="11"/>
        <v>0</v>
      </c>
      <c r="AB56" s="122">
        <f t="shared" si="11"/>
        <v>0</v>
      </c>
      <c r="AC56" s="122">
        <f t="shared" si="11"/>
        <v>0</v>
      </c>
      <c r="AD56" s="122">
        <f t="shared" si="11"/>
        <v>0</v>
      </c>
      <c r="AE56" s="122">
        <f t="shared" si="11"/>
        <v>0</v>
      </c>
      <c r="AF56" s="122">
        <f t="shared" si="11"/>
        <v>0</v>
      </c>
      <c r="AG56" s="122">
        <f t="shared" si="11"/>
        <v>0</v>
      </c>
      <c r="AH56" s="122">
        <f t="shared" si="11"/>
        <v>0</v>
      </c>
      <c r="AI56" s="122">
        <f t="shared" si="11"/>
        <v>0</v>
      </c>
      <c r="AJ56" s="122">
        <f t="shared" si="11"/>
        <v>0</v>
      </c>
      <c r="AK56" s="122">
        <f t="shared" si="11"/>
        <v>0</v>
      </c>
      <c r="AL56" s="122">
        <f t="shared" si="11"/>
        <v>0</v>
      </c>
      <c r="AM56" s="122">
        <f t="shared" si="11"/>
        <v>0</v>
      </c>
      <c r="AN56" s="122">
        <f t="shared" ref="AN56:AO56" si="12">AVERAGE(SUM(AN53:AN54),(SUM(AN53:AN54)-AN55))*$B$42</f>
        <v>0</v>
      </c>
      <c r="AO56" s="122">
        <f t="shared" si="12"/>
        <v>0</v>
      </c>
    </row>
    <row r="57" spans="1:41" s="123" customFormat="1" x14ac:dyDescent="0.2">
      <c r="A57" s="124"/>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25"/>
      <c r="AN57" s="125"/>
      <c r="AO57" s="125"/>
    </row>
    <row r="58" spans="1:41" x14ac:dyDescent="0.2">
      <c r="A58" s="117" t="s">
        <v>257</v>
      </c>
      <c r="B58" s="118">
        <v>1</v>
      </c>
      <c r="C58" s="118">
        <f>B58+1</f>
        <v>2</v>
      </c>
      <c r="D58" s="118">
        <f t="shared" ref="D58:AM58" si="13">C58+1</f>
        <v>3</v>
      </c>
      <c r="E58" s="118">
        <f t="shared" si="13"/>
        <v>4</v>
      </c>
      <c r="F58" s="118">
        <f t="shared" si="13"/>
        <v>5</v>
      </c>
      <c r="G58" s="118">
        <f t="shared" si="13"/>
        <v>6</v>
      </c>
      <c r="H58" s="118">
        <f t="shared" si="13"/>
        <v>7</v>
      </c>
      <c r="I58" s="118">
        <f t="shared" si="13"/>
        <v>8</v>
      </c>
      <c r="J58" s="118">
        <f t="shared" si="13"/>
        <v>9</v>
      </c>
      <c r="K58" s="118">
        <f t="shared" si="13"/>
        <v>10</v>
      </c>
      <c r="L58" s="118">
        <f t="shared" si="13"/>
        <v>11</v>
      </c>
      <c r="M58" s="118">
        <f t="shared" si="13"/>
        <v>12</v>
      </c>
      <c r="N58" s="118">
        <f t="shared" si="13"/>
        <v>13</v>
      </c>
      <c r="O58" s="118">
        <f t="shared" si="13"/>
        <v>14</v>
      </c>
      <c r="P58" s="118">
        <f t="shared" si="13"/>
        <v>15</v>
      </c>
      <c r="Q58" s="118">
        <f t="shared" si="13"/>
        <v>16</v>
      </c>
      <c r="R58" s="118">
        <f t="shared" si="13"/>
        <v>17</v>
      </c>
      <c r="S58" s="118">
        <f t="shared" si="13"/>
        <v>18</v>
      </c>
      <c r="T58" s="118">
        <f t="shared" si="13"/>
        <v>19</v>
      </c>
      <c r="U58" s="118">
        <f t="shared" si="13"/>
        <v>20</v>
      </c>
      <c r="V58" s="118">
        <f t="shared" si="13"/>
        <v>21</v>
      </c>
      <c r="W58" s="118">
        <f t="shared" si="13"/>
        <v>22</v>
      </c>
      <c r="X58" s="118">
        <f t="shared" si="13"/>
        <v>23</v>
      </c>
      <c r="Y58" s="118">
        <f t="shared" si="13"/>
        <v>24</v>
      </c>
      <c r="Z58" s="118">
        <f t="shared" si="13"/>
        <v>25</v>
      </c>
      <c r="AA58" s="118">
        <f t="shared" si="13"/>
        <v>26</v>
      </c>
      <c r="AB58" s="118">
        <f t="shared" si="13"/>
        <v>27</v>
      </c>
      <c r="AC58" s="118">
        <f t="shared" si="13"/>
        <v>28</v>
      </c>
      <c r="AD58" s="118">
        <f t="shared" si="13"/>
        <v>29</v>
      </c>
      <c r="AE58" s="118">
        <f t="shared" si="13"/>
        <v>30</v>
      </c>
      <c r="AF58" s="118">
        <f t="shared" si="13"/>
        <v>31</v>
      </c>
      <c r="AG58" s="118">
        <f t="shared" si="13"/>
        <v>32</v>
      </c>
      <c r="AH58" s="118">
        <f t="shared" si="13"/>
        <v>33</v>
      </c>
      <c r="AI58" s="118">
        <f t="shared" si="13"/>
        <v>34</v>
      </c>
      <c r="AJ58" s="118">
        <f t="shared" si="13"/>
        <v>35</v>
      </c>
      <c r="AK58" s="118">
        <f t="shared" si="13"/>
        <v>36</v>
      </c>
      <c r="AL58" s="118">
        <f t="shared" si="13"/>
        <v>37</v>
      </c>
      <c r="AM58" s="118">
        <f t="shared" si="13"/>
        <v>38</v>
      </c>
      <c r="AN58" s="118">
        <f>AM58+1</f>
        <v>39</v>
      </c>
      <c r="AO58" s="118">
        <f>AN58+1</f>
        <v>40</v>
      </c>
    </row>
    <row r="59" spans="1:41" ht="14.25" x14ac:dyDescent="0.2">
      <c r="A59" s="126" t="s">
        <v>258</v>
      </c>
      <c r="B59" s="127">
        <f t="shared" ref="B59:AM59" si="14">B50*$B$28</f>
        <v>0</v>
      </c>
      <c r="C59" s="127">
        <f t="shared" si="14"/>
        <v>0</v>
      </c>
      <c r="D59" s="127">
        <f t="shared" si="14"/>
        <v>0</v>
      </c>
      <c r="E59" s="127">
        <f t="shared" si="14"/>
        <v>0</v>
      </c>
      <c r="F59" s="127">
        <f t="shared" si="14"/>
        <v>0</v>
      </c>
      <c r="G59" s="127">
        <f t="shared" si="14"/>
        <v>0</v>
      </c>
      <c r="H59" s="127">
        <f t="shared" si="14"/>
        <v>0</v>
      </c>
      <c r="I59" s="127">
        <f t="shared" si="14"/>
        <v>1487099.7346251595</v>
      </c>
      <c r="J59" s="127">
        <f t="shared" si="14"/>
        <v>592665.82467890205</v>
      </c>
      <c r="K59" s="127">
        <f t="shared" si="14"/>
        <v>643928.0021066349</v>
      </c>
      <c r="L59" s="127">
        <f t="shared" si="14"/>
        <v>699292.11274914432</v>
      </c>
      <c r="M59" s="127">
        <f t="shared" si="14"/>
        <v>730207.1037012809</v>
      </c>
      <c r="N59" s="127">
        <f t="shared" si="14"/>
        <v>762488.81486682489</v>
      </c>
      <c r="O59" s="127">
        <f t="shared" si="14"/>
        <v>796197.66755221074</v>
      </c>
      <c r="P59" s="127">
        <f t="shared" si="14"/>
        <v>831396.75422819436</v>
      </c>
      <c r="Q59" s="127">
        <f t="shared" si="14"/>
        <v>868151.95661930251</v>
      </c>
      <c r="R59" s="127">
        <f t="shared" si="14"/>
        <v>906532.06901389675</v>
      </c>
      <c r="S59" s="127">
        <f t="shared" si="14"/>
        <v>946608.9270256497</v>
      </c>
      <c r="T59" s="127">
        <f t="shared" si="14"/>
        <v>988457.54204743484</v>
      </c>
      <c r="U59" s="127">
        <f t="shared" si="14"/>
        <v>1032156.2416492845</v>
      </c>
      <c r="V59" s="127">
        <f t="shared" si="14"/>
        <v>1077786.8161831996</v>
      </c>
      <c r="W59" s="127">
        <f t="shared" si="14"/>
        <v>1125434.671869209</v>
      </c>
      <c r="X59" s="127">
        <f t="shared" si="14"/>
        <v>1175188.9906492042</v>
      </c>
      <c r="Y59" s="127">
        <f t="shared" si="14"/>
        <v>1227142.8971077539</v>
      </c>
      <c r="Z59" s="127">
        <f t="shared" si="14"/>
        <v>1281393.6327723132</v>
      </c>
      <c r="AA59" s="127">
        <f t="shared" si="14"/>
        <v>1338042.7381190686</v>
      </c>
      <c r="AB59" s="127">
        <f t="shared" si="14"/>
        <v>1397196.2426250777</v>
      </c>
      <c r="AC59" s="127">
        <f t="shared" si="14"/>
        <v>1458964.8632224165</v>
      </c>
      <c r="AD59" s="127">
        <f t="shared" si="14"/>
        <v>1523464.211525786</v>
      </c>
      <c r="AE59" s="127">
        <f t="shared" si="14"/>
        <v>1590815.0102214362</v>
      </c>
      <c r="AF59" s="127">
        <f t="shared" si="14"/>
        <v>1661143.3190224266</v>
      </c>
      <c r="AG59" s="127">
        <f t="shared" si="14"/>
        <v>1734580.7706131362</v>
      </c>
      <c r="AH59" s="127">
        <f t="shared" si="14"/>
        <v>1811264.8170246419</v>
      </c>
      <c r="AI59" s="127">
        <f t="shared" si="14"/>
        <v>1891338.9869020979</v>
      </c>
      <c r="AJ59" s="127">
        <f t="shared" si="14"/>
        <v>1974953.1541456466</v>
      </c>
      <c r="AK59" s="127">
        <f t="shared" si="14"/>
        <v>2062263.8184276682</v>
      </c>
      <c r="AL59" s="127">
        <f t="shared" si="14"/>
        <v>2153434.3981114123</v>
      </c>
      <c r="AM59" s="127">
        <f t="shared" si="14"/>
        <v>2248635.536119265</v>
      </c>
      <c r="AN59" s="127">
        <f t="shared" ref="AN59:AO59" si="15">AN50*$B$28</f>
        <v>2348045.4193231347</v>
      </c>
      <c r="AO59" s="127">
        <f t="shared" si="15"/>
        <v>2451850.1120547689</v>
      </c>
    </row>
    <row r="60" spans="1:41" x14ac:dyDescent="0.2">
      <c r="A60" s="119" t="s">
        <v>259</v>
      </c>
      <c r="B60" s="120">
        <f t="shared" ref="B60:Z60" si="16">SUM(B61:B65)</f>
        <v>0</v>
      </c>
      <c r="C60" s="120">
        <f t="shared" si="16"/>
        <v>0</v>
      </c>
      <c r="D60" s="120">
        <f>SUM(D61:D65)</f>
        <v>0</v>
      </c>
      <c r="E60" s="120">
        <f t="shared" si="16"/>
        <v>0</v>
      </c>
      <c r="F60" s="120">
        <f t="shared" si="16"/>
        <v>0</v>
      </c>
      <c r="G60" s="120">
        <f t="shared" si="16"/>
        <v>0</v>
      </c>
      <c r="H60" s="120">
        <f t="shared" si="16"/>
        <v>0</v>
      </c>
      <c r="I60" s="120">
        <f t="shared" si="16"/>
        <v>0</v>
      </c>
      <c r="J60" s="120">
        <f t="shared" si="16"/>
        <v>0</v>
      </c>
      <c r="K60" s="120">
        <f t="shared" si="16"/>
        <v>0</v>
      </c>
      <c r="L60" s="120">
        <f t="shared" si="16"/>
        <v>0</v>
      </c>
      <c r="M60" s="120">
        <f t="shared" si="16"/>
        <v>-342800.19185320009</v>
      </c>
      <c r="N60" s="120">
        <f t="shared" si="16"/>
        <v>0</v>
      </c>
      <c r="O60" s="120">
        <f t="shared" si="16"/>
        <v>0</v>
      </c>
      <c r="P60" s="120">
        <f t="shared" si="16"/>
        <v>0</v>
      </c>
      <c r="Q60" s="120">
        <f t="shared" si="16"/>
        <v>0</v>
      </c>
      <c r="R60" s="120">
        <f t="shared" si="16"/>
        <v>0</v>
      </c>
      <c r="S60" s="120">
        <f t="shared" si="16"/>
        <v>-444391.35164466</v>
      </c>
      <c r="T60" s="120">
        <f t="shared" si="16"/>
        <v>0</v>
      </c>
      <c r="U60" s="120">
        <f t="shared" si="16"/>
        <v>0</v>
      </c>
      <c r="V60" s="120">
        <f t="shared" si="16"/>
        <v>0</v>
      </c>
      <c r="W60" s="120">
        <f t="shared" si="16"/>
        <v>0</v>
      </c>
      <c r="X60" s="120">
        <f t="shared" si="16"/>
        <v>0</v>
      </c>
      <c r="Y60" s="120">
        <f t="shared" si="16"/>
        <v>-576089.74005807377</v>
      </c>
      <c r="Z60" s="120">
        <f t="shared" si="16"/>
        <v>0</v>
      </c>
      <c r="AA60" s="120">
        <f t="shared" ref="AA60:AM60" si="17">SUM(AA61:AA65)</f>
        <v>0</v>
      </c>
      <c r="AB60" s="120">
        <f t="shared" si="17"/>
        <v>0</v>
      </c>
      <c r="AC60" s="120">
        <f t="shared" si="17"/>
        <v>0</v>
      </c>
      <c r="AD60" s="120">
        <f t="shared" si="17"/>
        <v>0</v>
      </c>
      <c r="AE60" s="120">
        <f t="shared" si="17"/>
        <v>-746817.83831282414</v>
      </c>
      <c r="AF60" s="120">
        <f t="shared" si="17"/>
        <v>0</v>
      </c>
      <c r="AG60" s="120">
        <f t="shared" si="17"/>
        <v>0</v>
      </c>
      <c r="AH60" s="120">
        <f t="shared" si="17"/>
        <v>0</v>
      </c>
      <c r="AI60" s="120">
        <f t="shared" si="17"/>
        <v>0</v>
      </c>
      <c r="AJ60" s="120">
        <f t="shared" si="17"/>
        <v>0</v>
      </c>
      <c r="AK60" s="120">
        <f t="shared" si="17"/>
        <v>-968142.36539955693</v>
      </c>
      <c r="AL60" s="120">
        <f t="shared" si="17"/>
        <v>0</v>
      </c>
      <c r="AM60" s="120">
        <f t="shared" si="17"/>
        <v>0</v>
      </c>
      <c r="AN60" s="120">
        <f t="shared" ref="AN60:AO60" si="18">SUM(AN61:AN65)</f>
        <v>0</v>
      </c>
      <c r="AO60" s="120">
        <f t="shared" si="18"/>
        <v>0</v>
      </c>
    </row>
    <row r="61" spans="1:41" x14ac:dyDescent="0.2">
      <c r="A61" s="128" t="s">
        <v>260</v>
      </c>
      <c r="B61" s="120"/>
      <c r="C61" s="120"/>
      <c r="D61" s="120"/>
      <c r="E61" s="120"/>
      <c r="F61" s="120"/>
      <c r="G61" s="120"/>
      <c r="H61" s="120"/>
      <c r="I61" s="120"/>
      <c r="J61" s="120"/>
      <c r="K61" s="120"/>
      <c r="L61" s="120"/>
      <c r="M61" s="120">
        <f t="shared" ref="M61:AK61" si="19">-IF(M$47&lt;=$B$30,0,$B$29*(1+M$49)*$B$28)</f>
        <v>-342800.19185320009</v>
      </c>
      <c r="N61" s="120"/>
      <c r="O61" s="120"/>
      <c r="P61" s="120"/>
      <c r="Q61" s="120"/>
      <c r="R61" s="120"/>
      <c r="S61" s="120">
        <f t="shared" si="19"/>
        <v>-444391.35164466</v>
      </c>
      <c r="T61" s="120"/>
      <c r="U61" s="120"/>
      <c r="V61" s="120"/>
      <c r="W61" s="120"/>
      <c r="X61" s="120"/>
      <c r="Y61" s="120">
        <f t="shared" si="19"/>
        <v>-576089.74005807377</v>
      </c>
      <c r="Z61" s="120"/>
      <c r="AA61" s="120"/>
      <c r="AB61" s="120"/>
      <c r="AC61" s="120"/>
      <c r="AD61" s="120"/>
      <c r="AE61" s="120">
        <f t="shared" si="19"/>
        <v>-746817.83831282414</v>
      </c>
      <c r="AF61" s="120"/>
      <c r="AG61" s="120"/>
      <c r="AH61" s="120"/>
      <c r="AI61" s="120"/>
      <c r="AJ61" s="120"/>
      <c r="AK61" s="120">
        <f t="shared" si="19"/>
        <v>-968142.36539955693</v>
      </c>
      <c r="AL61" s="120"/>
      <c r="AM61" s="120"/>
      <c r="AN61" s="120"/>
      <c r="AO61" s="120"/>
    </row>
    <row r="62" spans="1:41" x14ac:dyDescent="0.2">
      <c r="A62" s="128" t="str">
        <f>A32</f>
        <v>Прочие расходы при эксплуатации объекта, руб. без НДС</v>
      </c>
      <c r="B62" s="120"/>
      <c r="C62" s="120"/>
      <c r="D62" s="120"/>
      <c r="E62" s="120"/>
      <c r="F62" s="120"/>
      <c r="G62" s="120"/>
      <c r="H62" s="120"/>
      <c r="I62" s="120"/>
      <c r="J62" s="120"/>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row>
    <row r="63" spans="1:41" x14ac:dyDescent="0.2">
      <c r="A63" s="128" t="s">
        <v>238</v>
      </c>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row>
    <row r="64" spans="1:41" x14ac:dyDescent="0.2">
      <c r="A64" s="128" t="s">
        <v>238</v>
      </c>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row>
    <row r="65" spans="1:41" ht="31.5" x14ac:dyDescent="0.2">
      <c r="A65" s="128" t="s">
        <v>261</v>
      </c>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row>
    <row r="66" spans="1:41" ht="28.5" x14ac:dyDescent="0.2">
      <c r="A66" s="129" t="s">
        <v>262</v>
      </c>
      <c r="B66" s="127">
        <f t="shared" ref="B66:AM66" si="20">B59+B60</f>
        <v>0</v>
      </c>
      <c r="C66" s="127">
        <f t="shared" si="20"/>
        <v>0</v>
      </c>
      <c r="D66" s="127">
        <f t="shared" si="20"/>
        <v>0</v>
      </c>
      <c r="E66" s="127">
        <f t="shared" si="20"/>
        <v>0</v>
      </c>
      <c r="F66" s="127">
        <f t="shared" si="20"/>
        <v>0</v>
      </c>
      <c r="G66" s="127">
        <f t="shared" si="20"/>
        <v>0</v>
      </c>
      <c r="H66" s="127">
        <f t="shared" si="20"/>
        <v>0</v>
      </c>
      <c r="I66" s="127">
        <f t="shared" si="20"/>
        <v>1487099.7346251595</v>
      </c>
      <c r="J66" s="127">
        <f t="shared" si="20"/>
        <v>592665.82467890205</v>
      </c>
      <c r="K66" s="127">
        <f t="shared" si="20"/>
        <v>643928.0021066349</v>
      </c>
      <c r="L66" s="127">
        <f t="shared" si="20"/>
        <v>699292.11274914432</v>
      </c>
      <c r="M66" s="127">
        <f t="shared" si="20"/>
        <v>387406.91184808081</v>
      </c>
      <c r="N66" s="127">
        <f t="shared" si="20"/>
        <v>762488.81486682489</v>
      </c>
      <c r="O66" s="127">
        <f t="shared" si="20"/>
        <v>796197.66755221074</v>
      </c>
      <c r="P66" s="127">
        <f t="shared" si="20"/>
        <v>831396.75422819436</v>
      </c>
      <c r="Q66" s="127">
        <f t="shared" si="20"/>
        <v>868151.95661930251</v>
      </c>
      <c r="R66" s="127">
        <f t="shared" si="20"/>
        <v>906532.06901389675</v>
      </c>
      <c r="S66" s="127">
        <f t="shared" si="20"/>
        <v>502217.5753809897</v>
      </c>
      <c r="T66" s="127">
        <f t="shared" si="20"/>
        <v>988457.54204743484</v>
      </c>
      <c r="U66" s="127">
        <f t="shared" si="20"/>
        <v>1032156.2416492845</v>
      </c>
      <c r="V66" s="127">
        <f t="shared" si="20"/>
        <v>1077786.8161831996</v>
      </c>
      <c r="W66" s="127">
        <f t="shared" si="20"/>
        <v>1125434.671869209</v>
      </c>
      <c r="X66" s="127">
        <f t="shared" si="20"/>
        <v>1175188.9906492042</v>
      </c>
      <c r="Y66" s="127">
        <f t="shared" si="20"/>
        <v>651053.15704968013</v>
      </c>
      <c r="Z66" s="127">
        <f t="shared" si="20"/>
        <v>1281393.6327723132</v>
      </c>
      <c r="AA66" s="127">
        <f t="shared" si="20"/>
        <v>1338042.7381190686</v>
      </c>
      <c r="AB66" s="127">
        <f t="shared" si="20"/>
        <v>1397196.2426250777</v>
      </c>
      <c r="AC66" s="127">
        <f t="shared" si="20"/>
        <v>1458964.8632224165</v>
      </c>
      <c r="AD66" s="127">
        <f t="shared" si="20"/>
        <v>1523464.211525786</v>
      </c>
      <c r="AE66" s="127">
        <f t="shared" si="20"/>
        <v>843997.17190861201</v>
      </c>
      <c r="AF66" s="127">
        <f t="shared" si="20"/>
        <v>1661143.3190224266</v>
      </c>
      <c r="AG66" s="127">
        <f t="shared" si="20"/>
        <v>1734580.7706131362</v>
      </c>
      <c r="AH66" s="127">
        <f t="shared" si="20"/>
        <v>1811264.8170246419</v>
      </c>
      <c r="AI66" s="127">
        <f t="shared" si="20"/>
        <v>1891338.9869020979</v>
      </c>
      <c r="AJ66" s="127">
        <f t="shared" si="20"/>
        <v>1974953.1541456466</v>
      </c>
      <c r="AK66" s="127">
        <f t="shared" si="20"/>
        <v>1094121.4530281113</v>
      </c>
      <c r="AL66" s="127">
        <f t="shared" si="20"/>
        <v>2153434.3981114123</v>
      </c>
      <c r="AM66" s="127">
        <f t="shared" si="20"/>
        <v>2248635.536119265</v>
      </c>
      <c r="AN66" s="127">
        <f t="shared" ref="AN66:AO66" si="21">AN59+AN60</f>
        <v>2348045.4193231347</v>
      </c>
      <c r="AO66" s="127">
        <f t="shared" si="21"/>
        <v>2451850.1120547689</v>
      </c>
    </row>
    <row r="67" spans="1:41" x14ac:dyDescent="0.2">
      <c r="A67" s="128" t="s">
        <v>263</v>
      </c>
      <c r="B67" s="130"/>
      <c r="C67" s="120"/>
      <c r="D67" s="120"/>
      <c r="E67" s="120"/>
      <c r="F67" s="120"/>
      <c r="G67" s="120">
        <v>0</v>
      </c>
      <c r="H67" s="120"/>
      <c r="I67" s="120">
        <f>-($B$25)*$B$28/$B$27</f>
        <v>-449534.34285714285</v>
      </c>
      <c r="J67" s="120">
        <f t="shared" ref="J67:AM67" si="22">I67</f>
        <v>-449534.34285714285</v>
      </c>
      <c r="K67" s="120">
        <f t="shared" si="22"/>
        <v>-449534.34285714285</v>
      </c>
      <c r="L67" s="120">
        <f t="shared" si="22"/>
        <v>-449534.34285714285</v>
      </c>
      <c r="M67" s="120">
        <f t="shared" si="22"/>
        <v>-449534.34285714285</v>
      </c>
      <c r="N67" s="120">
        <f t="shared" si="22"/>
        <v>-449534.34285714285</v>
      </c>
      <c r="O67" s="120">
        <f t="shared" si="22"/>
        <v>-449534.34285714285</v>
      </c>
      <c r="P67" s="120">
        <f t="shared" si="22"/>
        <v>-449534.34285714285</v>
      </c>
      <c r="Q67" s="120">
        <f t="shared" si="22"/>
        <v>-449534.34285714285</v>
      </c>
      <c r="R67" s="120">
        <f t="shared" si="22"/>
        <v>-449534.34285714285</v>
      </c>
      <c r="S67" s="120">
        <f t="shared" si="22"/>
        <v>-449534.34285714285</v>
      </c>
      <c r="T67" s="120">
        <f t="shared" si="22"/>
        <v>-449534.34285714285</v>
      </c>
      <c r="U67" s="120">
        <f t="shared" si="22"/>
        <v>-449534.34285714285</v>
      </c>
      <c r="V67" s="120">
        <f t="shared" si="22"/>
        <v>-449534.34285714285</v>
      </c>
      <c r="W67" s="120">
        <f t="shared" si="22"/>
        <v>-449534.34285714285</v>
      </c>
      <c r="X67" s="120">
        <f t="shared" si="22"/>
        <v>-449534.34285714285</v>
      </c>
      <c r="Y67" s="120">
        <f t="shared" si="22"/>
        <v>-449534.34285714285</v>
      </c>
      <c r="Z67" s="120">
        <f t="shared" si="22"/>
        <v>-449534.34285714285</v>
      </c>
      <c r="AA67" s="120">
        <f t="shared" si="22"/>
        <v>-449534.34285714285</v>
      </c>
      <c r="AB67" s="120">
        <f t="shared" si="22"/>
        <v>-449534.34285714285</v>
      </c>
      <c r="AC67" s="120">
        <f t="shared" si="22"/>
        <v>-449534.34285714285</v>
      </c>
      <c r="AD67" s="120">
        <f t="shared" si="22"/>
        <v>-449534.34285714285</v>
      </c>
      <c r="AE67" s="120">
        <f t="shared" si="22"/>
        <v>-449534.34285714285</v>
      </c>
      <c r="AF67" s="120">
        <f t="shared" si="22"/>
        <v>-449534.34285714285</v>
      </c>
      <c r="AG67" s="120">
        <f t="shared" si="22"/>
        <v>-449534.34285714285</v>
      </c>
      <c r="AH67" s="120">
        <f t="shared" si="22"/>
        <v>-449534.34285714285</v>
      </c>
      <c r="AI67" s="120">
        <f t="shared" si="22"/>
        <v>-449534.34285714285</v>
      </c>
      <c r="AJ67" s="120">
        <f t="shared" si="22"/>
        <v>-449534.34285714285</v>
      </c>
      <c r="AK67" s="120">
        <f t="shared" si="22"/>
        <v>-449534.34285714285</v>
      </c>
      <c r="AL67" s="120">
        <f t="shared" si="22"/>
        <v>-449534.34285714285</v>
      </c>
      <c r="AM67" s="120">
        <f t="shared" si="22"/>
        <v>-449534.34285714285</v>
      </c>
      <c r="AN67" s="120">
        <f>AM67</f>
        <v>-449534.34285714285</v>
      </c>
      <c r="AO67" s="120">
        <f>AN67</f>
        <v>-449534.34285714285</v>
      </c>
    </row>
    <row r="68" spans="1:41" ht="28.5" x14ac:dyDescent="0.2">
      <c r="A68" s="129" t="s">
        <v>264</v>
      </c>
      <c r="B68" s="127">
        <f t="shared" ref="B68:J68" si="23">B66+B67</f>
        <v>0</v>
      </c>
      <c r="C68" s="127">
        <f>C66+C67</f>
        <v>0</v>
      </c>
      <c r="D68" s="127">
        <f>D66+D67</f>
        <v>0</v>
      </c>
      <c r="E68" s="127">
        <f t="shared" si="23"/>
        <v>0</v>
      </c>
      <c r="F68" s="127">
        <f>F66+C67</f>
        <v>0</v>
      </c>
      <c r="G68" s="127">
        <f t="shared" si="23"/>
        <v>0</v>
      </c>
      <c r="H68" s="127">
        <f t="shared" si="23"/>
        <v>0</v>
      </c>
      <c r="I68" s="127">
        <f t="shared" si="23"/>
        <v>1037565.3917680166</v>
      </c>
      <c r="J68" s="127">
        <f t="shared" si="23"/>
        <v>143131.4818217592</v>
      </c>
      <c r="K68" s="127">
        <f>K66+K67</f>
        <v>194393.65924949205</v>
      </c>
      <c r="L68" s="127">
        <f>L66+L67</f>
        <v>249757.76989200147</v>
      </c>
      <c r="M68" s="127">
        <f t="shared" ref="M68:AM68" si="24">M66+M67</f>
        <v>-62127.431009062042</v>
      </c>
      <c r="N68" s="127">
        <f t="shared" si="24"/>
        <v>312954.47200968204</v>
      </c>
      <c r="O68" s="127">
        <f t="shared" si="24"/>
        <v>346663.32469506789</v>
      </c>
      <c r="P68" s="127">
        <f t="shared" si="24"/>
        <v>381862.41137105151</v>
      </c>
      <c r="Q68" s="127">
        <f t="shared" si="24"/>
        <v>418617.61376215966</v>
      </c>
      <c r="R68" s="127">
        <f t="shared" si="24"/>
        <v>456997.7261567539</v>
      </c>
      <c r="S68" s="127">
        <f t="shared" si="24"/>
        <v>52683.232523846847</v>
      </c>
      <c r="T68" s="127">
        <f t="shared" si="24"/>
        <v>538923.19919029204</v>
      </c>
      <c r="U68" s="127">
        <f t="shared" si="24"/>
        <v>582621.89879214158</v>
      </c>
      <c r="V68" s="127">
        <f t="shared" si="24"/>
        <v>628252.47332605673</v>
      </c>
      <c r="W68" s="127">
        <f t="shared" si="24"/>
        <v>675900.32901206613</v>
      </c>
      <c r="X68" s="127">
        <f t="shared" si="24"/>
        <v>725654.64779206133</v>
      </c>
      <c r="Y68" s="127">
        <f t="shared" si="24"/>
        <v>201518.81419253728</v>
      </c>
      <c r="Z68" s="127">
        <f t="shared" si="24"/>
        <v>831859.28991517029</v>
      </c>
      <c r="AA68" s="127">
        <f t="shared" si="24"/>
        <v>888508.39526192565</v>
      </c>
      <c r="AB68" s="127">
        <f t="shared" si="24"/>
        <v>947661.89976793481</v>
      </c>
      <c r="AC68" s="127">
        <f t="shared" si="24"/>
        <v>1009430.5203652736</v>
      </c>
      <c r="AD68" s="127">
        <f t="shared" si="24"/>
        <v>1073929.8686686431</v>
      </c>
      <c r="AE68" s="127">
        <f t="shared" si="24"/>
        <v>394462.82905146916</v>
      </c>
      <c r="AF68" s="127">
        <f t="shared" si="24"/>
        <v>1211608.9761652837</v>
      </c>
      <c r="AG68" s="127">
        <f t="shared" si="24"/>
        <v>1285046.4277559933</v>
      </c>
      <c r="AH68" s="127">
        <f t="shared" si="24"/>
        <v>1361730.474167499</v>
      </c>
      <c r="AI68" s="127">
        <f t="shared" si="24"/>
        <v>1441804.644044955</v>
      </c>
      <c r="AJ68" s="127">
        <f t="shared" si="24"/>
        <v>1525418.8112885037</v>
      </c>
      <c r="AK68" s="127">
        <f t="shared" si="24"/>
        <v>644587.11017096834</v>
      </c>
      <c r="AL68" s="127">
        <f t="shared" si="24"/>
        <v>1703900.0552542694</v>
      </c>
      <c r="AM68" s="127">
        <f t="shared" si="24"/>
        <v>1799101.1932621221</v>
      </c>
      <c r="AN68" s="127">
        <f t="shared" ref="AN68:AO68" si="25">AN66+AN67</f>
        <v>1898511.0764659918</v>
      </c>
      <c r="AO68" s="127">
        <f t="shared" si="25"/>
        <v>2002315.769197626</v>
      </c>
    </row>
    <row r="69" spans="1:41" x14ac:dyDescent="0.2">
      <c r="A69" s="128" t="s">
        <v>265</v>
      </c>
      <c r="B69" s="120">
        <f t="shared" ref="B69:AM69" si="26">-B56</f>
        <v>0</v>
      </c>
      <c r="C69" s="120">
        <f t="shared" si="26"/>
        <v>0</v>
      </c>
      <c r="D69" s="120">
        <f t="shared" si="26"/>
        <v>0</v>
      </c>
      <c r="E69" s="120">
        <f t="shared" si="26"/>
        <v>0</v>
      </c>
      <c r="F69" s="120">
        <f t="shared" si="26"/>
        <v>0</v>
      </c>
      <c r="G69" s="120">
        <f t="shared" si="26"/>
        <v>0</v>
      </c>
      <c r="H69" s="120">
        <f t="shared" si="26"/>
        <v>0</v>
      </c>
      <c r="I69" s="120">
        <f t="shared" si="26"/>
        <v>0</v>
      </c>
      <c r="J69" s="120">
        <f t="shared" si="26"/>
        <v>0</v>
      </c>
      <c r="K69" s="120">
        <f t="shared" si="26"/>
        <v>0</v>
      </c>
      <c r="L69" s="120">
        <f t="shared" si="26"/>
        <v>0</v>
      </c>
      <c r="M69" s="120">
        <f t="shared" si="26"/>
        <v>0</v>
      </c>
      <c r="N69" s="120">
        <f t="shared" si="26"/>
        <v>0</v>
      </c>
      <c r="O69" s="120">
        <f t="shared" si="26"/>
        <v>0</v>
      </c>
      <c r="P69" s="120">
        <f t="shared" si="26"/>
        <v>0</v>
      </c>
      <c r="Q69" s="120">
        <f t="shared" si="26"/>
        <v>0</v>
      </c>
      <c r="R69" s="120">
        <f t="shared" si="26"/>
        <v>0</v>
      </c>
      <c r="S69" s="120">
        <f t="shared" si="26"/>
        <v>0</v>
      </c>
      <c r="T69" s="120">
        <f t="shared" si="26"/>
        <v>0</v>
      </c>
      <c r="U69" s="120">
        <f t="shared" si="26"/>
        <v>0</v>
      </c>
      <c r="V69" s="120">
        <f t="shared" si="26"/>
        <v>0</v>
      </c>
      <c r="W69" s="120">
        <f t="shared" si="26"/>
        <v>0</v>
      </c>
      <c r="X69" s="120">
        <f t="shared" si="26"/>
        <v>0</v>
      </c>
      <c r="Y69" s="120">
        <f t="shared" si="26"/>
        <v>0</v>
      </c>
      <c r="Z69" s="120">
        <f t="shared" si="26"/>
        <v>0</v>
      </c>
      <c r="AA69" s="120">
        <f t="shared" si="26"/>
        <v>0</v>
      </c>
      <c r="AB69" s="120">
        <f t="shared" si="26"/>
        <v>0</v>
      </c>
      <c r="AC69" s="120">
        <f t="shared" si="26"/>
        <v>0</v>
      </c>
      <c r="AD69" s="120">
        <f t="shared" si="26"/>
        <v>0</v>
      </c>
      <c r="AE69" s="120">
        <f t="shared" si="26"/>
        <v>0</v>
      </c>
      <c r="AF69" s="120">
        <f t="shared" si="26"/>
        <v>0</v>
      </c>
      <c r="AG69" s="120">
        <f t="shared" si="26"/>
        <v>0</v>
      </c>
      <c r="AH69" s="120">
        <f t="shared" si="26"/>
        <v>0</v>
      </c>
      <c r="AI69" s="120">
        <f t="shared" si="26"/>
        <v>0</v>
      </c>
      <c r="AJ69" s="120">
        <f t="shared" si="26"/>
        <v>0</v>
      </c>
      <c r="AK69" s="120">
        <f t="shared" si="26"/>
        <v>0</v>
      </c>
      <c r="AL69" s="120">
        <f t="shared" si="26"/>
        <v>0</v>
      </c>
      <c r="AM69" s="120">
        <f t="shared" si="26"/>
        <v>0</v>
      </c>
      <c r="AN69" s="120">
        <f t="shared" ref="AN69:AO69" si="27">-AN56</f>
        <v>0</v>
      </c>
      <c r="AO69" s="120">
        <f t="shared" si="27"/>
        <v>0</v>
      </c>
    </row>
    <row r="70" spans="1:41" ht="14.25" x14ac:dyDescent="0.2">
      <c r="A70" s="129" t="s">
        <v>266</v>
      </c>
      <c r="B70" s="127">
        <f t="shared" ref="B70:AM70" si="28">B68+B69</f>
        <v>0</v>
      </c>
      <c r="C70" s="127">
        <f t="shared" si="28"/>
        <v>0</v>
      </c>
      <c r="D70" s="127">
        <f t="shared" si="28"/>
        <v>0</v>
      </c>
      <c r="E70" s="127">
        <f t="shared" si="28"/>
        <v>0</v>
      </c>
      <c r="F70" s="127">
        <f t="shared" si="28"/>
        <v>0</v>
      </c>
      <c r="G70" s="127">
        <f t="shared" si="28"/>
        <v>0</v>
      </c>
      <c r="H70" s="127">
        <f t="shared" si="28"/>
        <v>0</v>
      </c>
      <c r="I70" s="127">
        <f t="shared" si="28"/>
        <v>1037565.3917680166</v>
      </c>
      <c r="J70" s="127">
        <f t="shared" si="28"/>
        <v>143131.4818217592</v>
      </c>
      <c r="K70" s="127">
        <f t="shared" si="28"/>
        <v>194393.65924949205</v>
      </c>
      <c r="L70" s="127">
        <f t="shared" si="28"/>
        <v>249757.76989200147</v>
      </c>
      <c r="M70" s="127">
        <f t="shared" si="28"/>
        <v>-62127.431009062042</v>
      </c>
      <c r="N70" s="127">
        <f t="shared" si="28"/>
        <v>312954.47200968204</v>
      </c>
      <c r="O70" s="127">
        <f t="shared" si="28"/>
        <v>346663.32469506789</v>
      </c>
      <c r="P70" s="127">
        <f t="shared" si="28"/>
        <v>381862.41137105151</v>
      </c>
      <c r="Q70" s="127">
        <f t="shared" si="28"/>
        <v>418617.61376215966</v>
      </c>
      <c r="R70" s="127">
        <f t="shared" si="28"/>
        <v>456997.7261567539</v>
      </c>
      <c r="S70" s="127">
        <f t="shared" si="28"/>
        <v>52683.232523846847</v>
      </c>
      <c r="T70" s="127">
        <f t="shared" si="28"/>
        <v>538923.19919029204</v>
      </c>
      <c r="U70" s="127">
        <f t="shared" si="28"/>
        <v>582621.89879214158</v>
      </c>
      <c r="V70" s="127">
        <f t="shared" si="28"/>
        <v>628252.47332605673</v>
      </c>
      <c r="W70" s="127">
        <f t="shared" si="28"/>
        <v>675900.32901206613</v>
      </c>
      <c r="X70" s="127">
        <f t="shared" si="28"/>
        <v>725654.64779206133</v>
      </c>
      <c r="Y70" s="127">
        <f t="shared" si="28"/>
        <v>201518.81419253728</v>
      </c>
      <c r="Z70" s="127">
        <f t="shared" si="28"/>
        <v>831859.28991517029</v>
      </c>
      <c r="AA70" s="127">
        <f t="shared" si="28"/>
        <v>888508.39526192565</v>
      </c>
      <c r="AB70" s="127">
        <f t="shared" si="28"/>
        <v>947661.89976793481</v>
      </c>
      <c r="AC70" s="127">
        <f t="shared" si="28"/>
        <v>1009430.5203652736</v>
      </c>
      <c r="AD70" s="127">
        <f t="shared" si="28"/>
        <v>1073929.8686686431</v>
      </c>
      <c r="AE70" s="127">
        <f t="shared" si="28"/>
        <v>394462.82905146916</v>
      </c>
      <c r="AF70" s="127">
        <f t="shared" si="28"/>
        <v>1211608.9761652837</v>
      </c>
      <c r="AG70" s="127">
        <f t="shared" si="28"/>
        <v>1285046.4277559933</v>
      </c>
      <c r="AH70" s="127">
        <f t="shared" si="28"/>
        <v>1361730.474167499</v>
      </c>
      <c r="AI70" s="127">
        <f t="shared" si="28"/>
        <v>1441804.644044955</v>
      </c>
      <c r="AJ70" s="127">
        <f t="shared" si="28"/>
        <v>1525418.8112885037</v>
      </c>
      <c r="AK70" s="127">
        <f t="shared" si="28"/>
        <v>644587.11017096834</v>
      </c>
      <c r="AL70" s="127">
        <f t="shared" si="28"/>
        <v>1703900.0552542694</v>
      </c>
      <c r="AM70" s="127">
        <f t="shared" si="28"/>
        <v>1799101.1932621221</v>
      </c>
      <c r="AN70" s="127">
        <f t="shared" ref="AN70:AO70" si="29">AN68+AN69</f>
        <v>1898511.0764659918</v>
      </c>
      <c r="AO70" s="127">
        <f t="shared" si="29"/>
        <v>2002315.769197626</v>
      </c>
    </row>
    <row r="71" spans="1:41" x14ac:dyDescent="0.2">
      <c r="A71" s="128" t="s">
        <v>237</v>
      </c>
      <c r="B71" s="120">
        <f t="shared" ref="B71:AM71" si="30">-B70*$B$36</f>
        <v>0</v>
      </c>
      <c r="C71" s="120">
        <f t="shared" si="30"/>
        <v>0</v>
      </c>
      <c r="D71" s="120">
        <f t="shared" si="30"/>
        <v>0</v>
      </c>
      <c r="E71" s="120">
        <f t="shared" si="30"/>
        <v>0</v>
      </c>
      <c r="F71" s="120">
        <f t="shared" si="30"/>
        <v>0</v>
      </c>
      <c r="G71" s="120">
        <f t="shared" si="30"/>
        <v>0</v>
      </c>
      <c r="H71" s="120">
        <f t="shared" si="30"/>
        <v>0</v>
      </c>
      <c r="I71" s="120">
        <f t="shared" si="30"/>
        <v>-207513.07835360334</v>
      </c>
      <c r="J71" s="120">
        <f t="shared" si="30"/>
        <v>-28626.296364351841</v>
      </c>
      <c r="K71" s="120">
        <f t="shared" si="30"/>
        <v>-38878.73184989841</v>
      </c>
      <c r="L71" s="120">
        <f t="shared" si="30"/>
        <v>-49951.553978400298</v>
      </c>
      <c r="M71" s="120">
        <f t="shared" si="30"/>
        <v>12425.486201812409</v>
      </c>
      <c r="N71" s="120">
        <f t="shared" si="30"/>
        <v>-62590.894401936413</v>
      </c>
      <c r="O71" s="120">
        <f t="shared" si="30"/>
        <v>-69332.664939013586</v>
      </c>
      <c r="P71" s="120">
        <f t="shared" si="30"/>
        <v>-76372.482274210299</v>
      </c>
      <c r="Q71" s="120">
        <f t="shared" si="30"/>
        <v>-83723.522752431934</v>
      </c>
      <c r="R71" s="120">
        <f t="shared" si="30"/>
        <v>-91399.545231350785</v>
      </c>
      <c r="S71" s="120">
        <f t="shared" si="30"/>
        <v>-10536.646504769371</v>
      </c>
      <c r="T71" s="120">
        <f t="shared" si="30"/>
        <v>-107784.63983805841</v>
      </c>
      <c r="U71" s="120">
        <f t="shared" si="30"/>
        <v>-116524.37975842832</v>
      </c>
      <c r="V71" s="120">
        <f t="shared" si="30"/>
        <v>-125650.49466521136</v>
      </c>
      <c r="W71" s="120">
        <f t="shared" si="30"/>
        <v>-135180.06580241324</v>
      </c>
      <c r="X71" s="120">
        <f t="shared" si="30"/>
        <v>-145130.92955841226</v>
      </c>
      <c r="Y71" s="120">
        <f t="shared" si="30"/>
        <v>-40303.762838507457</v>
      </c>
      <c r="Z71" s="120">
        <f t="shared" si="30"/>
        <v>-166371.85798303408</v>
      </c>
      <c r="AA71" s="120">
        <f t="shared" si="30"/>
        <v>-177701.67905238515</v>
      </c>
      <c r="AB71" s="120">
        <f t="shared" si="30"/>
        <v>-189532.37995358696</v>
      </c>
      <c r="AC71" s="120">
        <f t="shared" si="30"/>
        <v>-201886.10407305474</v>
      </c>
      <c r="AD71" s="120">
        <f t="shared" si="30"/>
        <v>-214785.97373372864</v>
      </c>
      <c r="AE71" s="120">
        <f t="shared" si="30"/>
        <v>-78892.565810293832</v>
      </c>
      <c r="AF71" s="120">
        <f t="shared" si="30"/>
        <v>-242321.79523305676</v>
      </c>
      <c r="AG71" s="120">
        <f t="shared" si="30"/>
        <v>-257009.28555119867</v>
      </c>
      <c r="AH71" s="120">
        <f t="shared" si="30"/>
        <v>-272346.09483349981</v>
      </c>
      <c r="AI71" s="120">
        <f t="shared" si="30"/>
        <v>-288360.92880899104</v>
      </c>
      <c r="AJ71" s="120">
        <f t="shared" si="30"/>
        <v>-305083.76225770073</v>
      </c>
      <c r="AK71" s="120">
        <f t="shared" si="30"/>
        <v>-128917.42203419367</v>
      </c>
      <c r="AL71" s="120">
        <f t="shared" si="30"/>
        <v>-340780.01105085388</v>
      </c>
      <c r="AM71" s="120">
        <f t="shared" si="30"/>
        <v>-359820.23865242442</v>
      </c>
      <c r="AN71" s="120">
        <f t="shared" ref="AN71:AO71" si="31">-AN70*$B$36</f>
        <v>-379702.21529319836</v>
      </c>
      <c r="AO71" s="120">
        <f t="shared" si="31"/>
        <v>-400463.15383952524</v>
      </c>
    </row>
    <row r="72" spans="1:41" ht="14.25" x14ac:dyDescent="0.2">
      <c r="A72" s="131" t="s">
        <v>267</v>
      </c>
      <c r="B72" s="132">
        <f t="shared" ref="B72:AM72" si="32">B70+B71</f>
        <v>0</v>
      </c>
      <c r="C72" s="132">
        <f t="shared" si="32"/>
        <v>0</v>
      </c>
      <c r="D72" s="132">
        <f t="shared" si="32"/>
        <v>0</v>
      </c>
      <c r="E72" s="132">
        <f t="shared" si="32"/>
        <v>0</v>
      </c>
      <c r="F72" s="132">
        <f t="shared" si="32"/>
        <v>0</v>
      </c>
      <c r="G72" s="132">
        <f t="shared" si="32"/>
        <v>0</v>
      </c>
      <c r="H72" s="132">
        <f t="shared" si="32"/>
        <v>0</v>
      </c>
      <c r="I72" s="132">
        <f t="shared" si="32"/>
        <v>830052.31341441325</v>
      </c>
      <c r="J72" s="132">
        <f t="shared" si="32"/>
        <v>114505.18545740735</v>
      </c>
      <c r="K72" s="132">
        <f t="shared" si="32"/>
        <v>155514.92739959364</v>
      </c>
      <c r="L72" s="132">
        <f t="shared" si="32"/>
        <v>199806.21591360116</v>
      </c>
      <c r="M72" s="132">
        <f t="shared" si="32"/>
        <v>-49701.944807249631</v>
      </c>
      <c r="N72" s="132">
        <f t="shared" si="32"/>
        <v>250363.57760774562</v>
      </c>
      <c r="O72" s="132">
        <f t="shared" si="32"/>
        <v>277330.65975605429</v>
      </c>
      <c r="P72" s="132">
        <f t="shared" si="32"/>
        <v>305489.9290968412</v>
      </c>
      <c r="Q72" s="132">
        <f t="shared" si="32"/>
        <v>334894.09100972774</v>
      </c>
      <c r="R72" s="132">
        <f t="shared" si="32"/>
        <v>365598.18092540314</v>
      </c>
      <c r="S72" s="132">
        <f t="shared" si="32"/>
        <v>42146.586019077477</v>
      </c>
      <c r="T72" s="132">
        <f t="shared" si="32"/>
        <v>431138.55935223366</v>
      </c>
      <c r="U72" s="132">
        <f t="shared" si="32"/>
        <v>466097.51903371327</v>
      </c>
      <c r="V72" s="132">
        <f t="shared" si="32"/>
        <v>502601.97866084537</v>
      </c>
      <c r="W72" s="132">
        <f t="shared" si="32"/>
        <v>540720.26320965285</v>
      </c>
      <c r="X72" s="132">
        <f t="shared" si="32"/>
        <v>580523.71823364904</v>
      </c>
      <c r="Y72" s="132">
        <f t="shared" si="32"/>
        <v>161215.05135402983</v>
      </c>
      <c r="Z72" s="132">
        <f t="shared" si="32"/>
        <v>665487.43193213618</v>
      </c>
      <c r="AA72" s="132">
        <f t="shared" si="32"/>
        <v>710806.71620954049</v>
      </c>
      <c r="AB72" s="132">
        <f t="shared" si="32"/>
        <v>758129.51981434785</v>
      </c>
      <c r="AC72" s="132">
        <f t="shared" si="32"/>
        <v>807544.41629221884</v>
      </c>
      <c r="AD72" s="132">
        <f t="shared" si="32"/>
        <v>859143.89493491442</v>
      </c>
      <c r="AE72" s="132">
        <f t="shared" si="32"/>
        <v>315570.26324117533</v>
      </c>
      <c r="AF72" s="132">
        <f t="shared" si="32"/>
        <v>969287.18093222694</v>
      </c>
      <c r="AG72" s="132">
        <f t="shared" si="32"/>
        <v>1028037.1422047947</v>
      </c>
      <c r="AH72" s="132">
        <f t="shared" si="32"/>
        <v>1089384.3793339992</v>
      </c>
      <c r="AI72" s="132">
        <f t="shared" si="32"/>
        <v>1153443.7152359639</v>
      </c>
      <c r="AJ72" s="132">
        <f t="shared" si="32"/>
        <v>1220335.0490308029</v>
      </c>
      <c r="AK72" s="132">
        <f t="shared" si="32"/>
        <v>515669.6881367747</v>
      </c>
      <c r="AL72" s="132">
        <f t="shared" si="32"/>
        <v>1363120.0442034155</v>
      </c>
      <c r="AM72" s="132">
        <f t="shared" si="32"/>
        <v>1439280.9546096977</v>
      </c>
      <c r="AN72" s="132">
        <f t="shared" ref="AN72:AO72" si="33">AN70+AN71</f>
        <v>1518808.8611727934</v>
      </c>
      <c r="AO72" s="132">
        <f t="shared" si="33"/>
        <v>1601852.6153581007</v>
      </c>
    </row>
    <row r="73" spans="1:41" s="123" customFormat="1" x14ac:dyDescent="0.2">
      <c r="A73" s="124"/>
      <c r="B73" s="133">
        <f>B136</f>
        <v>0.5</v>
      </c>
      <c r="C73" s="133">
        <f t="shared" ref="C73:AM73" si="34">C136</f>
        <v>1.5</v>
      </c>
      <c r="D73" s="133">
        <f t="shared" si="34"/>
        <v>2.5</v>
      </c>
      <c r="E73" s="133">
        <f t="shared" si="34"/>
        <v>3.5</v>
      </c>
      <c r="F73" s="133">
        <f t="shared" si="34"/>
        <v>4.5</v>
      </c>
      <c r="G73" s="133">
        <f t="shared" si="34"/>
        <v>5.5</v>
      </c>
      <c r="H73" s="133">
        <f t="shared" si="34"/>
        <v>6.5</v>
      </c>
      <c r="I73" s="133">
        <f t="shared" si="34"/>
        <v>7.5</v>
      </c>
      <c r="J73" s="133">
        <f t="shared" si="34"/>
        <v>8.5</v>
      </c>
      <c r="K73" s="133">
        <f t="shared" si="34"/>
        <v>9.5</v>
      </c>
      <c r="L73" s="133">
        <f t="shared" si="34"/>
        <v>10.5</v>
      </c>
      <c r="M73" s="133">
        <f t="shared" si="34"/>
        <v>11.5</v>
      </c>
      <c r="N73" s="133">
        <f t="shared" si="34"/>
        <v>12.5</v>
      </c>
      <c r="O73" s="133">
        <f t="shared" si="34"/>
        <v>13.5</v>
      </c>
      <c r="P73" s="133">
        <f t="shared" si="34"/>
        <v>14.5</v>
      </c>
      <c r="Q73" s="133">
        <f t="shared" si="34"/>
        <v>15.5</v>
      </c>
      <c r="R73" s="133">
        <f t="shared" si="34"/>
        <v>16.5</v>
      </c>
      <c r="S73" s="133">
        <f t="shared" si="34"/>
        <v>17.5</v>
      </c>
      <c r="T73" s="133">
        <f t="shared" si="34"/>
        <v>18.5</v>
      </c>
      <c r="U73" s="133">
        <f t="shared" si="34"/>
        <v>19.5</v>
      </c>
      <c r="V73" s="133">
        <f t="shared" si="34"/>
        <v>20.5</v>
      </c>
      <c r="W73" s="133">
        <f t="shared" si="34"/>
        <v>21.5</v>
      </c>
      <c r="X73" s="133">
        <f t="shared" si="34"/>
        <v>22.5</v>
      </c>
      <c r="Y73" s="133">
        <f t="shared" si="34"/>
        <v>23.5</v>
      </c>
      <c r="Z73" s="133">
        <f t="shared" si="34"/>
        <v>24.5</v>
      </c>
      <c r="AA73" s="133">
        <f t="shared" si="34"/>
        <v>25.5</v>
      </c>
      <c r="AB73" s="133">
        <f t="shared" si="34"/>
        <v>26.5</v>
      </c>
      <c r="AC73" s="133">
        <f t="shared" si="34"/>
        <v>27.5</v>
      </c>
      <c r="AD73" s="133">
        <f t="shared" si="34"/>
        <v>28.5</v>
      </c>
      <c r="AE73" s="133">
        <f t="shared" si="34"/>
        <v>29.5</v>
      </c>
      <c r="AF73" s="133">
        <f t="shared" si="34"/>
        <v>30.5</v>
      </c>
      <c r="AG73" s="133">
        <f t="shared" si="34"/>
        <v>31.5</v>
      </c>
      <c r="AH73" s="133">
        <f t="shared" si="34"/>
        <v>32.5</v>
      </c>
      <c r="AI73" s="133">
        <f t="shared" si="34"/>
        <v>33.5</v>
      </c>
      <c r="AJ73" s="133">
        <f t="shared" si="34"/>
        <v>34.5</v>
      </c>
      <c r="AK73" s="133">
        <f t="shared" si="34"/>
        <v>35.5</v>
      </c>
      <c r="AL73" s="133">
        <f t="shared" si="34"/>
        <v>36.5</v>
      </c>
      <c r="AM73" s="133">
        <f t="shared" si="34"/>
        <v>37.5</v>
      </c>
      <c r="AN73" s="133">
        <f t="shared" ref="AN73:AO73" si="35">AN136</f>
        <v>38.5</v>
      </c>
      <c r="AO73" s="133">
        <f t="shared" si="35"/>
        <v>39.5</v>
      </c>
    </row>
    <row r="74" spans="1:41" x14ac:dyDescent="0.2">
      <c r="A74" s="117" t="s">
        <v>268</v>
      </c>
      <c r="B74" s="118">
        <f t="shared" ref="B74:AM74" si="36">B58</f>
        <v>1</v>
      </c>
      <c r="C74" s="118">
        <f t="shared" si="36"/>
        <v>2</v>
      </c>
      <c r="D74" s="118">
        <f t="shared" si="36"/>
        <v>3</v>
      </c>
      <c r="E74" s="118">
        <f t="shared" si="36"/>
        <v>4</v>
      </c>
      <c r="F74" s="118">
        <f t="shared" si="36"/>
        <v>5</v>
      </c>
      <c r="G74" s="118">
        <f t="shared" si="36"/>
        <v>6</v>
      </c>
      <c r="H74" s="118">
        <f t="shared" si="36"/>
        <v>7</v>
      </c>
      <c r="I74" s="118">
        <f t="shared" si="36"/>
        <v>8</v>
      </c>
      <c r="J74" s="118">
        <f t="shared" si="36"/>
        <v>9</v>
      </c>
      <c r="K74" s="118">
        <f t="shared" si="36"/>
        <v>10</v>
      </c>
      <c r="L74" s="118">
        <f t="shared" si="36"/>
        <v>11</v>
      </c>
      <c r="M74" s="118">
        <f t="shared" si="36"/>
        <v>12</v>
      </c>
      <c r="N74" s="118">
        <f t="shared" si="36"/>
        <v>13</v>
      </c>
      <c r="O74" s="118">
        <f t="shared" si="36"/>
        <v>14</v>
      </c>
      <c r="P74" s="118">
        <f t="shared" si="36"/>
        <v>15</v>
      </c>
      <c r="Q74" s="118">
        <f t="shared" si="36"/>
        <v>16</v>
      </c>
      <c r="R74" s="118">
        <f t="shared" si="36"/>
        <v>17</v>
      </c>
      <c r="S74" s="118">
        <f t="shared" si="36"/>
        <v>18</v>
      </c>
      <c r="T74" s="118">
        <f t="shared" si="36"/>
        <v>19</v>
      </c>
      <c r="U74" s="118">
        <f t="shared" si="36"/>
        <v>20</v>
      </c>
      <c r="V74" s="118">
        <f t="shared" si="36"/>
        <v>21</v>
      </c>
      <c r="W74" s="118">
        <f t="shared" si="36"/>
        <v>22</v>
      </c>
      <c r="X74" s="118">
        <f t="shared" si="36"/>
        <v>23</v>
      </c>
      <c r="Y74" s="118">
        <f t="shared" si="36"/>
        <v>24</v>
      </c>
      <c r="Z74" s="118">
        <f t="shared" si="36"/>
        <v>25</v>
      </c>
      <c r="AA74" s="118">
        <f t="shared" si="36"/>
        <v>26</v>
      </c>
      <c r="AB74" s="118">
        <f t="shared" si="36"/>
        <v>27</v>
      </c>
      <c r="AC74" s="118">
        <f t="shared" si="36"/>
        <v>28</v>
      </c>
      <c r="AD74" s="118">
        <f t="shared" si="36"/>
        <v>29</v>
      </c>
      <c r="AE74" s="118">
        <f t="shared" si="36"/>
        <v>30</v>
      </c>
      <c r="AF74" s="118">
        <f t="shared" si="36"/>
        <v>31</v>
      </c>
      <c r="AG74" s="118">
        <f t="shared" si="36"/>
        <v>32</v>
      </c>
      <c r="AH74" s="118">
        <f t="shared" si="36"/>
        <v>33</v>
      </c>
      <c r="AI74" s="118">
        <f t="shared" si="36"/>
        <v>34</v>
      </c>
      <c r="AJ74" s="118">
        <f t="shared" si="36"/>
        <v>35</v>
      </c>
      <c r="AK74" s="118">
        <f t="shared" si="36"/>
        <v>36</v>
      </c>
      <c r="AL74" s="118">
        <f t="shared" si="36"/>
        <v>37</v>
      </c>
      <c r="AM74" s="118">
        <f t="shared" si="36"/>
        <v>38</v>
      </c>
      <c r="AN74" s="118">
        <f t="shared" ref="AN74:AO74" si="37">AN58</f>
        <v>39</v>
      </c>
      <c r="AO74" s="118">
        <f t="shared" si="37"/>
        <v>40</v>
      </c>
    </row>
    <row r="75" spans="1:41" ht="28.5" x14ac:dyDescent="0.2">
      <c r="A75" s="126" t="s">
        <v>264</v>
      </c>
      <c r="B75" s="127">
        <f t="shared" ref="B75:AM75" si="38">B68</f>
        <v>0</v>
      </c>
      <c r="C75" s="127">
        <f t="shared" si="38"/>
        <v>0</v>
      </c>
      <c r="D75" s="127">
        <f>D68</f>
        <v>0</v>
      </c>
      <c r="E75" s="127">
        <f t="shared" si="38"/>
        <v>0</v>
      </c>
      <c r="F75" s="127">
        <f t="shared" si="38"/>
        <v>0</v>
      </c>
      <c r="G75" s="127">
        <f t="shared" si="38"/>
        <v>0</v>
      </c>
      <c r="H75" s="127">
        <f t="shared" si="38"/>
        <v>0</v>
      </c>
      <c r="I75" s="127">
        <f t="shared" si="38"/>
        <v>1037565.3917680166</v>
      </c>
      <c r="J75" s="127">
        <f t="shared" si="38"/>
        <v>143131.4818217592</v>
      </c>
      <c r="K75" s="127">
        <f t="shared" si="38"/>
        <v>194393.65924949205</v>
      </c>
      <c r="L75" s="127">
        <f t="shared" si="38"/>
        <v>249757.76989200147</v>
      </c>
      <c r="M75" s="127">
        <f t="shared" si="38"/>
        <v>-62127.431009062042</v>
      </c>
      <c r="N75" s="127">
        <f t="shared" si="38"/>
        <v>312954.47200968204</v>
      </c>
      <c r="O75" s="127">
        <f t="shared" si="38"/>
        <v>346663.32469506789</v>
      </c>
      <c r="P75" s="127">
        <f t="shared" si="38"/>
        <v>381862.41137105151</v>
      </c>
      <c r="Q75" s="127">
        <f t="shared" si="38"/>
        <v>418617.61376215966</v>
      </c>
      <c r="R75" s="127">
        <f t="shared" si="38"/>
        <v>456997.7261567539</v>
      </c>
      <c r="S75" s="127">
        <f t="shared" si="38"/>
        <v>52683.232523846847</v>
      </c>
      <c r="T75" s="127">
        <f t="shared" si="38"/>
        <v>538923.19919029204</v>
      </c>
      <c r="U75" s="127">
        <f t="shared" si="38"/>
        <v>582621.89879214158</v>
      </c>
      <c r="V75" s="127">
        <f t="shared" si="38"/>
        <v>628252.47332605673</v>
      </c>
      <c r="W75" s="127">
        <f t="shared" si="38"/>
        <v>675900.32901206613</v>
      </c>
      <c r="X75" s="127">
        <f t="shared" si="38"/>
        <v>725654.64779206133</v>
      </c>
      <c r="Y75" s="127">
        <f t="shared" si="38"/>
        <v>201518.81419253728</v>
      </c>
      <c r="Z75" s="127">
        <f t="shared" si="38"/>
        <v>831859.28991517029</v>
      </c>
      <c r="AA75" s="127">
        <f t="shared" si="38"/>
        <v>888508.39526192565</v>
      </c>
      <c r="AB75" s="127">
        <f t="shared" si="38"/>
        <v>947661.89976793481</v>
      </c>
      <c r="AC75" s="127">
        <f t="shared" si="38"/>
        <v>1009430.5203652736</v>
      </c>
      <c r="AD75" s="127">
        <f t="shared" si="38"/>
        <v>1073929.8686686431</v>
      </c>
      <c r="AE75" s="127">
        <f t="shared" si="38"/>
        <v>394462.82905146916</v>
      </c>
      <c r="AF75" s="127">
        <f t="shared" si="38"/>
        <v>1211608.9761652837</v>
      </c>
      <c r="AG75" s="127">
        <f t="shared" si="38"/>
        <v>1285046.4277559933</v>
      </c>
      <c r="AH75" s="127">
        <f t="shared" si="38"/>
        <v>1361730.474167499</v>
      </c>
      <c r="AI75" s="127">
        <f t="shared" si="38"/>
        <v>1441804.644044955</v>
      </c>
      <c r="AJ75" s="127">
        <f t="shared" si="38"/>
        <v>1525418.8112885037</v>
      </c>
      <c r="AK75" s="127">
        <f t="shared" si="38"/>
        <v>644587.11017096834</v>
      </c>
      <c r="AL75" s="127">
        <f t="shared" si="38"/>
        <v>1703900.0552542694</v>
      </c>
      <c r="AM75" s="127">
        <f t="shared" si="38"/>
        <v>1799101.1932621221</v>
      </c>
      <c r="AN75" s="127">
        <f t="shared" ref="AN75:AO75" si="39">AN68</f>
        <v>1898511.0764659918</v>
      </c>
      <c r="AO75" s="127">
        <f t="shared" si="39"/>
        <v>2002315.769197626</v>
      </c>
    </row>
    <row r="76" spans="1:41" x14ac:dyDescent="0.2">
      <c r="A76" s="128" t="s">
        <v>263</v>
      </c>
      <c r="B76" s="120">
        <f t="shared" ref="B76:AM76" si="40">-B67</f>
        <v>0</v>
      </c>
      <c r="C76" s="120">
        <f>-C67</f>
        <v>0</v>
      </c>
      <c r="D76" s="120">
        <f t="shared" si="40"/>
        <v>0</v>
      </c>
      <c r="E76" s="120">
        <f t="shared" si="40"/>
        <v>0</v>
      </c>
      <c r="F76" s="120">
        <f>-C67</f>
        <v>0</v>
      </c>
      <c r="G76" s="120">
        <f t="shared" si="40"/>
        <v>0</v>
      </c>
      <c r="H76" s="120">
        <f t="shared" si="40"/>
        <v>0</v>
      </c>
      <c r="I76" s="120">
        <f t="shared" si="40"/>
        <v>449534.34285714285</v>
      </c>
      <c r="J76" s="120">
        <f t="shared" si="40"/>
        <v>449534.34285714285</v>
      </c>
      <c r="K76" s="120">
        <f t="shared" si="40"/>
        <v>449534.34285714285</v>
      </c>
      <c r="L76" s="120">
        <f>-L67</f>
        <v>449534.34285714285</v>
      </c>
      <c r="M76" s="120">
        <f>-M67</f>
        <v>449534.34285714285</v>
      </c>
      <c r="N76" s="120">
        <f t="shared" si="40"/>
        <v>449534.34285714285</v>
      </c>
      <c r="O76" s="120">
        <f t="shared" si="40"/>
        <v>449534.34285714285</v>
      </c>
      <c r="P76" s="120">
        <f t="shared" si="40"/>
        <v>449534.34285714285</v>
      </c>
      <c r="Q76" s="120">
        <f t="shared" si="40"/>
        <v>449534.34285714285</v>
      </c>
      <c r="R76" s="120">
        <f t="shared" si="40"/>
        <v>449534.34285714285</v>
      </c>
      <c r="S76" s="120">
        <f t="shared" si="40"/>
        <v>449534.34285714285</v>
      </c>
      <c r="T76" s="120">
        <f t="shared" si="40"/>
        <v>449534.34285714285</v>
      </c>
      <c r="U76" s="120">
        <f t="shared" si="40"/>
        <v>449534.34285714285</v>
      </c>
      <c r="V76" s="120">
        <f t="shared" si="40"/>
        <v>449534.34285714285</v>
      </c>
      <c r="W76" s="120">
        <f t="shared" si="40"/>
        <v>449534.34285714285</v>
      </c>
      <c r="X76" s="120">
        <f t="shared" si="40"/>
        <v>449534.34285714285</v>
      </c>
      <c r="Y76" s="120">
        <f t="shared" si="40"/>
        <v>449534.34285714285</v>
      </c>
      <c r="Z76" s="120">
        <f t="shared" si="40"/>
        <v>449534.34285714285</v>
      </c>
      <c r="AA76" s="120">
        <f t="shared" si="40"/>
        <v>449534.34285714285</v>
      </c>
      <c r="AB76" s="120">
        <f t="shared" si="40"/>
        <v>449534.34285714285</v>
      </c>
      <c r="AC76" s="120">
        <f t="shared" si="40"/>
        <v>449534.34285714285</v>
      </c>
      <c r="AD76" s="120">
        <f t="shared" si="40"/>
        <v>449534.34285714285</v>
      </c>
      <c r="AE76" s="120">
        <f t="shared" si="40"/>
        <v>449534.34285714285</v>
      </c>
      <c r="AF76" s="120">
        <f t="shared" si="40"/>
        <v>449534.34285714285</v>
      </c>
      <c r="AG76" s="120">
        <f t="shared" si="40"/>
        <v>449534.34285714285</v>
      </c>
      <c r="AH76" s="120">
        <f t="shared" si="40"/>
        <v>449534.34285714285</v>
      </c>
      <c r="AI76" s="120">
        <f t="shared" si="40"/>
        <v>449534.34285714285</v>
      </c>
      <c r="AJ76" s="120">
        <f t="shared" si="40"/>
        <v>449534.34285714285</v>
      </c>
      <c r="AK76" s="120">
        <f t="shared" si="40"/>
        <v>449534.34285714285</v>
      </c>
      <c r="AL76" s="120">
        <f t="shared" si="40"/>
        <v>449534.34285714285</v>
      </c>
      <c r="AM76" s="120">
        <f t="shared" si="40"/>
        <v>449534.34285714285</v>
      </c>
      <c r="AN76" s="120">
        <f t="shared" ref="AN76:AO76" si="41">-AN67</f>
        <v>449534.34285714285</v>
      </c>
      <c r="AO76" s="120">
        <f t="shared" si="41"/>
        <v>449534.34285714285</v>
      </c>
    </row>
    <row r="77" spans="1:41" x14ac:dyDescent="0.2">
      <c r="A77" s="128" t="s">
        <v>265</v>
      </c>
      <c r="B77" s="120">
        <f t="shared" ref="B77:AM77" si="42">B69</f>
        <v>0</v>
      </c>
      <c r="C77" s="120">
        <f t="shared" si="42"/>
        <v>0</v>
      </c>
      <c r="D77" s="120">
        <f t="shared" si="42"/>
        <v>0</v>
      </c>
      <c r="E77" s="120">
        <f t="shared" si="42"/>
        <v>0</v>
      </c>
      <c r="F77" s="120">
        <f t="shared" si="42"/>
        <v>0</v>
      </c>
      <c r="G77" s="120">
        <f t="shared" si="42"/>
        <v>0</v>
      </c>
      <c r="H77" s="120">
        <f t="shared" si="42"/>
        <v>0</v>
      </c>
      <c r="I77" s="120">
        <f t="shared" si="42"/>
        <v>0</v>
      </c>
      <c r="J77" s="120">
        <f t="shared" si="42"/>
        <v>0</v>
      </c>
      <c r="K77" s="120">
        <f t="shared" si="42"/>
        <v>0</v>
      </c>
      <c r="L77" s="120">
        <f t="shared" si="42"/>
        <v>0</v>
      </c>
      <c r="M77" s="120">
        <f t="shared" si="42"/>
        <v>0</v>
      </c>
      <c r="N77" s="120">
        <f t="shared" si="42"/>
        <v>0</v>
      </c>
      <c r="O77" s="120">
        <f t="shared" si="42"/>
        <v>0</v>
      </c>
      <c r="P77" s="120">
        <f t="shared" si="42"/>
        <v>0</v>
      </c>
      <c r="Q77" s="120">
        <f t="shared" si="42"/>
        <v>0</v>
      </c>
      <c r="R77" s="120">
        <f t="shared" si="42"/>
        <v>0</v>
      </c>
      <c r="S77" s="120">
        <f t="shared" si="42"/>
        <v>0</v>
      </c>
      <c r="T77" s="120">
        <f t="shared" si="42"/>
        <v>0</v>
      </c>
      <c r="U77" s="120">
        <f t="shared" si="42"/>
        <v>0</v>
      </c>
      <c r="V77" s="120">
        <f t="shared" si="42"/>
        <v>0</v>
      </c>
      <c r="W77" s="120">
        <f t="shared" si="42"/>
        <v>0</v>
      </c>
      <c r="X77" s="120">
        <f t="shared" si="42"/>
        <v>0</v>
      </c>
      <c r="Y77" s="120">
        <f t="shared" si="42"/>
        <v>0</v>
      </c>
      <c r="Z77" s="120">
        <f t="shared" si="42"/>
        <v>0</v>
      </c>
      <c r="AA77" s="120">
        <f t="shared" si="42"/>
        <v>0</v>
      </c>
      <c r="AB77" s="120">
        <f t="shared" si="42"/>
        <v>0</v>
      </c>
      <c r="AC77" s="120">
        <f t="shared" si="42"/>
        <v>0</v>
      </c>
      <c r="AD77" s="120">
        <f t="shared" si="42"/>
        <v>0</v>
      </c>
      <c r="AE77" s="120">
        <f t="shared" si="42"/>
        <v>0</v>
      </c>
      <c r="AF77" s="120">
        <f t="shared" si="42"/>
        <v>0</v>
      </c>
      <c r="AG77" s="120">
        <f t="shared" si="42"/>
        <v>0</v>
      </c>
      <c r="AH77" s="120">
        <f t="shared" si="42"/>
        <v>0</v>
      </c>
      <c r="AI77" s="120">
        <f t="shared" si="42"/>
        <v>0</v>
      </c>
      <c r="AJ77" s="120">
        <f t="shared" si="42"/>
        <v>0</v>
      </c>
      <c r="AK77" s="120">
        <f t="shared" si="42"/>
        <v>0</v>
      </c>
      <c r="AL77" s="120">
        <f t="shared" si="42"/>
        <v>0</v>
      </c>
      <c r="AM77" s="120">
        <f t="shared" si="42"/>
        <v>0</v>
      </c>
      <c r="AN77" s="120">
        <f t="shared" ref="AN77:AO77" si="43">AN69</f>
        <v>0</v>
      </c>
      <c r="AO77" s="120">
        <f t="shared" si="43"/>
        <v>0</v>
      </c>
    </row>
    <row r="78" spans="1:41" x14ac:dyDescent="0.2">
      <c r="A78" s="128" t="s">
        <v>237</v>
      </c>
      <c r="B78" s="120">
        <f>IF(SUM($B$71:B71)+SUM($A$78:A78)&gt;0,0,SUM($B$71:B71)-SUM($A$78:A78))</f>
        <v>0</v>
      </c>
      <c r="C78" s="120">
        <f>IF(SUM($B$71:C71)+SUM($A$78:B78)&gt;0,0,SUM($B$71:C71)-SUM($A$78:B78))</f>
        <v>0</v>
      </c>
      <c r="D78" s="120">
        <f>IF(SUM($B$71:D71)+SUM($A$78:C78)&gt;0,0,SUM($B$71:D71)-SUM($A$78:C78))</f>
        <v>0</v>
      </c>
      <c r="E78" s="120">
        <f>IF(SUM($B$71:E71)+SUM($A$78:D78)&gt;0,0,SUM($B$71:E71)-SUM($A$78:D78))</f>
        <v>0</v>
      </c>
      <c r="F78" s="120">
        <f>IF(SUM($B$71:F71)+SUM($A$78:E78)&gt;0,0,SUM($B$71:F71)-SUM($A$78:E78))</f>
        <v>0</v>
      </c>
      <c r="G78" s="120">
        <f>IF(SUM($B$71:G71)+SUM($A$78:F78)&gt;0,0,SUM($B$71:G71)-SUM($A$78:F78))</f>
        <v>0</v>
      </c>
      <c r="H78" s="120">
        <f>IF(SUM($B$71:H71)+SUM($A$78:G78)&gt;0,0,SUM($B$71:H71)-SUM($A$78:G78))</f>
        <v>0</v>
      </c>
      <c r="I78" s="120">
        <f>IF(SUM($B$71:I71)+SUM($A$78:H78)&gt;0,0,SUM($B$71:I71)-SUM($A$78:H78))</f>
        <v>-207513.07835360334</v>
      </c>
      <c r="J78" s="120">
        <f>IF(SUM($B$71:J71)+SUM($A$78:I78)&gt;0,0,SUM($B$71:J71)-SUM($A$78:I78))</f>
        <v>-28626.296364351845</v>
      </c>
      <c r="K78" s="120">
        <f>IF(SUM($B$71:K71)+SUM($A$78:J78)&gt;0,0,SUM($B$71:K71)-SUM($A$78:J78))</f>
        <v>-38878.73184989841</v>
      </c>
      <c r="L78" s="120">
        <f>IF(SUM($B$71:L71)+SUM($A$78:K78)&gt;0,0,SUM($B$71:L71)-SUM($A$78:K78))</f>
        <v>-49951.553978400305</v>
      </c>
      <c r="M78" s="120">
        <f>IF(SUM($B$71:M71)+SUM($A$78:L78)&gt;0,0,SUM($B$71:M71)-SUM($A$78:L78))</f>
        <v>12425.486201812397</v>
      </c>
      <c r="N78" s="120">
        <f>IF(SUM($B$71:N71)+SUM($A$78:M78)&gt;0,0,SUM($B$71:N71)-SUM($A$78:M78))</f>
        <v>-62590.894401936443</v>
      </c>
      <c r="O78" s="120">
        <f>IF(SUM($B$71:O71)+SUM($A$78:N78)&gt;0,0,SUM($B$71:O71)-SUM($A$78:N78))</f>
        <v>-69332.664939013601</v>
      </c>
      <c r="P78" s="120">
        <f>IF(SUM($B$71:P71)+SUM($A$78:O78)&gt;0,0,SUM($B$71:P71)-SUM($A$78:O78))</f>
        <v>-76372.482274210313</v>
      </c>
      <c r="Q78" s="120">
        <f>IF(SUM($B$71:Q71)+SUM($A$78:P78)&gt;0,0,SUM($B$71:Q71)-SUM($A$78:P78))</f>
        <v>-83723.522752431978</v>
      </c>
      <c r="R78" s="120">
        <f>IF(SUM($B$71:R71)+SUM($A$78:Q78)&gt;0,0,SUM($B$71:R71)-SUM($A$78:Q78))</f>
        <v>-91399.545231350814</v>
      </c>
      <c r="S78" s="120">
        <f>IF(SUM($B$71:S71)+SUM($A$78:R78)&gt;0,0,SUM($B$71:S71)-SUM($A$78:R78))</f>
        <v>-10536.646504769335</v>
      </c>
      <c r="T78" s="120">
        <f>IF(SUM($B$71:T71)+SUM($A$78:S78)&gt;0,0,SUM($B$71:T71)-SUM($A$78:S78))</f>
        <v>-107784.63983805839</v>
      </c>
      <c r="U78" s="120">
        <f>IF(SUM($B$71:U71)+SUM($A$78:T78)&gt;0,0,SUM($B$71:U71)-SUM($A$78:T78))</f>
        <v>-116524.37975842832</v>
      </c>
      <c r="V78" s="120">
        <f>IF(SUM($B$71:V71)+SUM($A$78:U78)&gt;0,0,SUM($B$71:V71)-SUM($A$78:U78))</f>
        <v>-125650.49466521142</v>
      </c>
      <c r="W78" s="120">
        <f>IF(SUM($B$71:W71)+SUM($A$78:V78)&gt;0,0,SUM($B$71:W71)-SUM($A$78:V78))</f>
        <v>-135180.06580241327</v>
      </c>
      <c r="X78" s="120">
        <f>IF(SUM($B$71:X71)+SUM($A$78:W78)&gt;0,0,SUM($B$71:X71)-SUM($A$78:W78))</f>
        <v>-145130.92955841217</v>
      </c>
      <c r="Y78" s="120">
        <f>IF(SUM($B$71:Y71)+SUM($A$78:X78)&gt;0,0,SUM($B$71:Y71)-SUM($A$78:X78))</f>
        <v>-40303.762838507537</v>
      </c>
      <c r="Z78" s="120">
        <f>IF(SUM($B$71:Z71)+SUM($A$78:Y78)&gt;0,0,SUM($B$71:Z71)-SUM($A$78:Y78))</f>
        <v>-166371.8579830341</v>
      </c>
      <c r="AA78" s="120">
        <f>IF(SUM($B$71:AA71)+SUM($A$78:Z78)&gt;0,0,SUM($B$71:AA71)-SUM($A$78:Z78))</f>
        <v>-177701.67905238504</v>
      </c>
      <c r="AB78" s="120">
        <f>IF(SUM($B$71:AB71)+SUM($A$78:AA78)&gt;0,0,SUM($B$71:AB71)-SUM($A$78:AA78))</f>
        <v>-189532.37995358696</v>
      </c>
      <c r="AC78" s="120">
        <f>IF(SUM($B$71:AC71)+SUM($A$78:AB78)&gt;0,0,SUM($B$71:AC71)-SUM($A$78:AB78))</f>
        <v>-201886.10407305462</v>
      </c>
      <c r="AD78" s="120">
        <f>IF(SUM($B$71:AD71)+SUM($A$78:AC78)&gt;0,0,SUM($B$71:AD71)-SUM($A$78:AC78))</f>
        <v>-214785.97373372875</v>
      </c>
      <c r="AE78" s="120">
        <f>IF(SUM($B$71:AE71)+SUM($A$78:AD78)&gt;0,0,SUM($B$71:AE71)-SUM($A$78:AD78))</f>
        <v>-78892.565810293891</v>
      </c>
      <c r="AF78" s="120">
        <f>IF(SUM($B$71:AF71)+SUM($A$78:AE78)&gt;0,0,SUM($B$71:AF71)-SUM($A$78:AE78))</f>
        <v>-242321.79523305688</v>
      </c>
      <c r="AG78" s="120">
        <f>IF(SUM($B$71:AG71)+SUM($A$78:AF78)&gt;0,0,SUM($B$71:AG71)-SUM($A$78:AF78))</f>
        <v>-257009.28555119876</v>
      </c>
      <c r="AH78" s="120">
        <f>IF(SUM($B$71:AH71)+SUM($A$78:AG78)&gt;0,0,SUM($B$71:AH71)-SUM($A$78:AG78))</f>
        <v>-272346.09483349975</v>
      </c>
      <c r="AI78" s="120">
        <f>IF(SUM($B$71:AI71)+SUM($A$78:AH78)&gt;0,0,SUM($B$71:AI71)-SUM($A$78:AH78))</f>
        <v>-288360.92880899087</v>
      </c>
      <c r="AJ78" s="120">
        <f>IF(SUM($B$71:AJ71)+SUM($A$78:AI78)&gt;0,0,SUM($B$71:AJ71)-SUM($A$78:AI78))</f>
        <v>-305083.76225770079</v>
      </c>
      <c r="AK78" s="120">
        <f>IF(SUM($B$71:AK71)+SUM($A$78:AJ78)&gt;0,0,SUM($B$71:AK71)-SUM($A$78:AJ78))</f>
        <v>-128917.42203419376</v>
      </c>
      <c r="AL78" s="120">
        <f>IF(SUM($B$71:AL71)+SUM($A$78:AK78)&gt;0,0,SUM($B$71:AL71)-SUM($A$78:AK78))</f>
        <v>-340780.01105085388</v>
      </c>
      <c r="AM78" s="120">
        <f>IF(SUM($B$71:AM71)+SUM($A$78:AL78)&gt;0,0,SUM($B$71:AM71)-SUM($A$78:AL78))</f>
        <v>-359820.23865242396</v>
      </c>
      <c r="AN78" s="120">
        <f>IF(SUM($B$71:AN71)+SUM($A$78:AM78)&gt;0,0,SUM($B$71:AN71)-SUM($A$78:AM78))</f>
        <v>-379702.21529319882</v>
      </c>
      <c r="AO78" s="120">
        <f>IF(SUM($B$71:AO71)+SUM($A$78:AN78)&gt;0,0,SUM($B$71:AO71)-SUM($A$78:AN78))</f>
        <v>-400463.15383952484</v>
      </c>
    </row>
    <row r="79" spans="1:41" x14ac:dyDescent="0.2">
      <c r="A79" s="128" t="s">
        <v>269</v>
      </c>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c r="AD79" s="120"/>
      <c r="AE79" s="120"/>
      <c r="AF79" s="120"/>
      <c r="AG79" s="120"/>
      <c r="AH79" s="120"/>
      <c r="AI79" s="120"/>
      <c r="AJ79" s="120"/>
      <c r="AK79" s="120"/>
      <c r="AL79" s="120"/>
      <c r="AM79" s="120"/>
      <c r="AN79" s="120"/>
      <c r="AO79" s="120"/>
    </row>
    <row r="80" spans="1:41" x14ac:dyDescent="0.2">
      <c r="A80" s="128" t="s">
        <v>270</v>
      </c>
      <c r="B80" s="120">
        <f>-B59*(B39)</f>
        <v>0</v>
      </c>
      <c r="C80" s="120">
        <f t="shared" ref="C80:AM80" si="44">-(C59-B59)*$B$39</f>
        <v>0</v>
      </c>
      <c r="D80" s="120">
        <f t="shared" si="44"/>
        <v>0</v>
      </c>
      <c r="E80" s="120">
        <f t="shared" si="44"/>
        <v>0</v>
      </c>
      <c r="F80" s="120">
        <f t="shared" si="44"/>
        <v>0</v>
      </c>
      <c r="G80" s="120">
        <f t="shared" si="44"/>
        <v>0</v>
      </c>
      <c r="H80" s="120">
        <f t="shared" si="44"/>
        <v>0</v>
      </c>
      <c r="I80" s="120">
        <f t="shared" si="44"/>
        <v>0</v>
      </c>
      <c r="J80" s="120">
        <f t="shared" si="44"/>
        <v>0</v>
      </c>
      <c r="K80" s="120">
        <f t="shared" si="44"/>
        <v>0</v>
      </c>
      <c r="L80" s="120">
        <f t="shared" si="44"/>
        <v>0</v>
      </c>
      <c r="M80" s="120">
        <f t="shared" si="44"/>
        <v>0</v>
      </c>
      <c r="N80" s="120">
        <f t="shared" si="44"/>
        <v>0</v>
      </c>
      <c r="O80" s="120">
        <f t="shared" si="44"/>
        <v>0</v>
      </c>
      <c r="P80" s="120">
        <f t="shared" si="44"/>
        <v>0</v>
      </c>
      <c r="Q80" s="120">
        <f t="shared" si="44"/>
        <v>0</v>
      </c>
      <c r="R80" s="120">
        <f t="shared" si="44"/>
        <v>0</v>
      </c>
      <c r="S80" s="120">
        <f t="shared" si="44"/>
        <v>0</v>
      </c>
      <c r="T80" s="120">
        <f t="shared" si="44"/>
        <v>0</v>
      </c>
      <c r="U80" s="120">
        <f t="shared" si="44"/>
        <v>0</v>
      </c>
      <c r="V80" s="120">
        <f t="shared" si="44"/>
        <v>0</v>
      </c>
      <c r="W80" s="120">
        <f t="shared" si="44"/>
        <v>0</v>
      </c>
      <c r="X80" s="120">
        <f t="shared" si="44"/>
        <v>0</v>
      </c>
      <c r="Y80" s="120">
        <f t="shared" si="44"/>
        <v>0</v>
      </c>
      <c r="Z80" s="120">
        <f t="shared" si="44"/>
        <v>0</v>
      </c>
      <c r="AA80" s="120">
        <f t="shared" si="44"/>
        <v>0</v>
      </c>
      <c r="AB80" s="120">
        <f t="shared" si="44"/>
        <v>0</v>
      </c>
      <c r="AC80" s="120">
        <f t="shared" si="44"/>
        <v>0</v>
      </c>
      <c r="AD80" s="120">
        <f t="shared" si="44"/>
        <v>0</v>
      </c>
      <c r="AE80" s="120">
        <f t="shared" si="44"/>
        <v>0</v>
      </c>
      <c r="AF80" s="120">
        <f t="shared" si="44"/>
        <v>0</v>
      </c>
      <c r="AG80" s="120">
        <f t="shared" si="44"/>
        <v>0</v>
      </c>
      <c r="AH80" s="120">
        <f t="shared" si="44"/>
        <v>0</v>
      </c>
      <c r="AI80" s="120">
        <f t="shared" si="44"/>
        <v>0</v>
      </c>
      <c r="AJ80" s="120">
        <f t="shared" si="44"/>
        <v>0</v>
      </c>
      <c r="AK80" s="120">
        <f t="shared" si="44"/>
        <v>0</v>
      </c>
      <c r="AL80" s="120">
        <f t="shared" si="44"/>
        <v>0</v>
      </c>
      <c r="AM80" s="120">
        <f t="shared" si="44"/>
        <v>0</v>
      </c>
      <c r="AN80" s="120">
        <f>-(AN59-AM59)*$B$39</f>
        <v>0</v>
      </c>
      <c r="AO80" s="120">
        <f>-(AO59-AN59)*$B$39</f>
        <v>0</v>
      </c>
    </row>
    <row r="81" spans="1:41" x14ac:dyDescent="0.2">
      <c r="A81" s="128" t="s">
        <v>271</v>
      </c>
      <c r="B81" s="120">
        <v>-1516515</v>
      </c>
      <c r="C81" s="120"/>
      <c r="D81" s="120">
        <v>-223540.9</v>
      </c>
      <c r="E81" s="120">
        <v>-8533.01</v>
      </c>
      <c r="F81" s="120">
        <f>'6.2. Паспорт фин осв ввод'!G30*-1*1000000</f>
        <v>0</v>
      </c>
      <c r="G81" s="120">
        <f>-1000000*'6.2. Паспорт фин осв ввод'!J30</f>
        <v>-8052502.5800000001</v>
      </c>
      <c r="H81" s="120">
        <f>'6.2. Паспорт фин осв ввод'!N30*-1000000</f>
        <v>-5932610.5099999988</v>
      </c>
      <c r="I81" s="120"/>
      <c r="J81" s="120"/>
      <c r="K81" s="120"/>
      <c r="L81" s="120"/>
      <c r="M81" s="120"/>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0"/>
      <c r="AL81" s="120"/>
      <c r="AM81" s="120"/>
      <c r="AN81" s="120"/>
      <c r="AO81" s="120"/>
    </row>
    <row r="82" spans="1:41" x14ac:dyDescent="0.2">
      <c r="A82" s="128" t="s">
        <v>272</v>
      </c>
      <c r="B82" s="120">
        <f t="shared" ref="B82:AM82" si="45">B54-B55</f>
        <v>0</v>
      </c>
      <c r="C82" s="120">
        <f t="shared" si="45"/>
        <v>0</v>
      </c>
      <c r="D82" s="120">
        <f t="shared" si="45"/>
        <v>0</v>
      </c>
      <c r="E82" s="120">
        <f t="shared" si="45"/>
        <v>0</v>
      </c>
      <c r="F82" s="120">
        <f t="shared" si="45"/>
        <v>0</v>
      </c>
      <c r="G82" s="120">
        <f t="shared" si="45"/>
        <v>0</v>
      </c>
      <c r="H82" s="120">
        <f t="shared" si="45"/>
        <v>0</v>
      </c>
      <c r="I82" s="120">
        <f t="shared" si="45"/>
        <v>0</v>
      </c>
      <c r="J82" s="120">
        <f t="shared" si="45"/>
        <v>0</v>
      </c>
      <c r="K82" s="120">
        <f t="shared" si="45"/>
        <v>0</v>
      </c>
      <c r="L82" s="120">
        <f t="shared" si="45"/>
        <v>0</v>
      </c>
      <c r="M82" s="120">
        <f t="shared" si="45"/>
        <v>0</v>
      </c>
      <c r="N82" s="120">
        <f t="shared" si="45"/>
        <v>0</v>
      </c>
      <c r="O82" s="120">
        <f t="shared" si="45"/>
        <v>0</v>
      </c>
      <c r="P82" s="120">
        <f t="shared" si="45"/>
        <v>0</v>
      </c>
      <c r="Q82" s="120">
        <f t="shared" si="45"/>
        <v>0</v>
      </c>
      <c r="R82" s="120">
        <f t="shared" si="45"/>
        <v>0</v>
      </c>
      <c r="S82" s="120">
        <f t="shared" si="45"/>
        <v>0</v>
      </c>
      <c r="T82" s="120">
        <f t="shared" si="45"/>
        <v>0</v>
      </c>
      <c r="U82" s="120">
        <f t="shared" si="45"/>
        <v>0</v>
      </c>
      <c r="V82" s="120">
        <f t="shared" si="45"/>
        <v>0</v>
      </c>
      <c r="W82" s="120">
        <f t="shared" si="45"/>
        <v>0</v>
      </c>
      <c r="X82" s="120">
        <f t="shared" si="45"/>
        <v>0</v>
      </c>
      <c r="Y82" s="120">
        <f t="shared" si="45"/>
        <v>0</v>
      </c>
      <c r="Z82" s="120">
        <f t="shared" si="45"/>
        <v>0</v>
      </c>
      <c r="AA82" s="120">
        <f t="shared" si="45"/>
        <v>0</v>
      </c>
      <c r="AB82" s="120">
        <f t="shared" si="45"/>
        <v>0</v>
      </c>
      <c r="AC82" s="120">
        <f t="shared" si="45"/>
        <v>0</v>
      </c>
      <c r="AD82" s="120">
        <f t="shared" si="45"/>
        <v>0</v>
      </c>
      <c r="AE82" s="120">
        <f t="shared" si="45"/>
        <v>0</v>
      </c>
      <c r="AF82" s="120">
        <f t="shared" si="45"/>
        <v>0</v>
      </c>
      <c r="AG82" s="120">
        <f t="shared" si="45"/>
        <v>0</v>
      </c>
      <c r="AH82" s="120">
        <f t="shared" si="45"/>
        <v>0</v>
      </c>
      <c r="AI82" s="120">
        <f t="shared" si="45"/>
        <v>0</v>
      </c>
      <c r="AJ82" s="120">
        <f t="shared" si="45"/>
        <v>0</v>
      </c>
      <c r="AK82" s="120">
        <f t="shared" si="45"/>
        <v>0</v>
      </c>
      <c r="AL82" s="120">
        <f t="shared" si="45"/>
        <v>0</v>
      </c>
      <c r="AM82" s="120">
        <f t="shared" si="45"/>
        <v>0</v>
      </c>
      <c r="AN82" s="120">
        <v>0</v>
      </c>
      <c r="AO82" s="120">
        <f>AO54-AO55</f>
        <v>0</v>
      </c>
    </row>
    <row r="83" spans="1:41" ht="14.25" x14ac:dyDescent="0.2">
      <c r="A83" s="129" t="s">
        <v>273</v>
      </c>
      <c r="B83" s="127">
        <f>SUM(B75:B82)</f>
        <v>-1516515</v>
      </c>
      <c r="C83" s="127">
        <f t="shared" ref="C83:V83" si="46">SUM(C75:C82)</f>
        <v>0</v>
      </c>
      <c r="D83" s="127">
        <f t="shared" si="46"/>
        <v>-223540.9</v>
      </c>
      <c r="E83" s="127">
        <f t="shared" si="46"/>
        <v>-8533.01</v>
      </c>
      <c r="F83" s="127">
        <f t="shared" si="46"/>
        <v>0</v>
      </c>
      <c r="G83" s="127">
        <f t="shared" si="46"/>
        <v>-8052502.5800000001</v>
      </c>
      <c r="H83" s="127">
        <f t="shared" si="46"/>
        <v>-5932610.5099999988</v>
      </c>
      <c r="I83" s="127">
        <f t="shared" si="46"/>
        <v>1279586.6562715562</v>
      </c>
      <c r="J83" s="127">
        <f t="shared" si="46"/>
        <v>564039.52831455017</v>
      </c>
      <c r="K83" s="127">
        <f t="shared" si="46"/>
        <v>605049.27025673655</v>
      </c>
      <c r="L83" s="127">
        <f t="shared" si="46"/>
        <v>649340.55877074401</v>
      </c>
      <c r="M83" s="127">
        <f t="shared" si="46"/>
        <v>399832.39804989321</v>
      </c>
      <c r="N83" s="127">
        <f t="shared" si="46"/>
        <v>699897.92046488845</v>
      </c>
      <c r="O83" s="127">
        <f t="shared" si="46"/>
        <v>726865.00261319708</v>
      </c>
      <c r="P83" s="127">
        <f t="shared" si="46"/>
        <v>755024.27195398405</v>
      </c>
      <c r="Q83" s="127">
        <f t="shared" si="46"/>
        <v>784428.43386687059</v>
      </c>
      <c r="R83" s="127">
        <f t="shared" si="46"/>
        <v>815132.52378254593</v>
      </c>
      <c r="S83" s="127">
        <f t="shared" si="46"/>
        <v>491680.92887622037</v>
      </c>
      <c r="T83" s="127">
        <f t="shared" si="46"/>
        <v>880672.90220937657</v>
      </c>
      <c r="U83" s="127">
        <f t="shared" si="46"/>
        <v>915631.86189085618</v>
      </c>
      <c r="V83" s="127">
        <f t="shared" si="46"/>
        <v>952136.32151798822</v>
      </c>
      <c r="W83" s="127">
        <f>SUM(W75:W82)</f>
        <v>990254.60606679576</v>
      </c>
      <c r="X83" s="127">
        <f>SUM(X75:X82)</f>
        <v>1030058.0610907921</v>
      </c>
      <c r="Y83" s="127">
        <f>SUM(Y75:Y82)</f>
        <v>610749.39421117259</v>
      </c>
      <c r="Z83" s="127">
        <f>SUM(Z75:Z82)</f>
        <v>1115021.7747892791</v>
      </c>
      <c r="AA83" s="127">
        <f t="shared" ref="AA83:AM83" si="47">SUM(AA75:AA82)</f>
        <v>1160341.0590666835</v>
      </c>
      <c r="AB83" s="127">
        <f t="shared" si="47"/>
        <v>1207663.8626714908</v>
      </c>
      <c r="AC83" s="127">
        <f t="shared" si="47"/>
        <v>1257078.7591493619</v>
      </c>
      <c r="AD83" s="127">
        <f t="shared" si="47"/>
        <v>1308678.2377920572</v>
      </c>
      <c r="AE83" s="127">
        <f t="shared" si="47"/>
        <v>765104.60609831812</v>
      </c>
      <c r="AF83" s="127">
        <f t="shared" si="47"/>
        <v>1418821.5237893697</v>
      </c>
      <c r="AG83" s="127">
        <f t="shared" si="47"/>
        <v>1477571.4850619375</v>
      </c>
      <c r="AH83" s="127">
        <f t="shared" si="47"/>
        <v>1538918.7221911422</v>
      </c>
      <c r="AI83" s="127">
        <f t="shared" si="47"/>
        <v>1602978.0580931071</v>
      </c>
      <c r="AJ83" s="127">
        <f t="shared" si="47"/>
        <v>1669869.3918879458</v>
      </c>
      <c r="AK83" s="127">
        <f t="shared" si="47"/>
        <v>965204.03099391749</v>
      </c>
      <c r="AL83" s="127">
        <f t="shared" si="47"/>
        <v>1812654.3870605584</v>
      </c>
      <c r="AM83" s="127">
        <f t="shared" si="47"/>
        <v>1888815.2974668411</v>
      </c>
      <c r="AN83" s="127">
        <f t="shared" ref="AN83:AO83" si="48">SUM(AN75:AN82)</f>
        <v>1968343.2040299359</v>
      </c>
      <c r="AO83" s="127">
        <f t="shared" si="48"/>
        <v>2051386.9582152441</v>
      </c>
    </row>
    <row r="84" spans="1:41" ht="14.25" x14ac:dyDescent="0.2">
      <c r="A84" s="129" t="s">
        <v>274</v>
      </c>
      <c r="B84" s="127">
        <f>SUM($B$83:B83)</f>
        <v>-1516515</v>
      </c>
      <c r="C84" s="127">
        <f>SUM($B$83:C83)</f>
        <v>-1516515</v>
      </c>
      <c r="D84" s="127">
        <f>SUM($B$83:D83)</f>
        <v>-1740055.9</v>
      </c>
      <c r="E84" s="127">
        <f>SUM($B$83:E83)</f>
        <v>-1748588.91</v>
      </c>
      <c r="F84" s="127">
        <f>SUM($B$83:F83)</f>
        <v>-1748588.91</v>
      </c>
      <c r="G84" s="127">
        <f>SUM($B$83:G83)</f>
        <v>-9801091.4900000002</v>
      </c>
      <c r="H84" s="127">
        <f>SUM($B$83:H83)</f>
        <v>-15733702</v>
      </c>
      <c r="I84" s="127">
        <f>SUM($B$83:I83)</f>
        <v>-14454115.343728444</v>
      </c>
      <c r="J84" s="127">
        <f>SUM($B$83:J83)</f>
        <v>-13890075.815413894</v>
      </c>
      <c r="K84" s="127">
        <f>SUM($B$83:K83)</f>
        <v>-13285026.545157157</v>
      </c>
      <c r="L84" s="127">
        <f>SUM($B$83:L83)</f>
        <v>-12635685.986386413</v>
      </c>
      <c r="M84" s="127">
        <f>SUM($B$83:M83)</f>
        <v>-12235853.58833652</v>
      </c>
      <c r="N84" s="127">
        <f>SUM($B$83:N83)</f>
        <v>-11535955.667871632</v>
      </c>
      <c r="O84" s="127">
        <f>SUM($B$83:O83)</f>
        <v>-10809090.665258434</v>
      </c>
      <c r="P84" s="127">
        <f>SUM($B$83:P83)</f>
        <v>-10054066.39330445</v>
      </c>
      <c r="Q84" s="127">
        <f>SUM($B$83:Q83)</f>
        <v>-9269637.9594375789</v>
      </c>
      <c r="R84" s="127">
        <f>SUM($B$83:R83)</f>
        <v>-8454505.4356550332</v>
      </c>
      <c r="S84" s="127">
        <f>SUM($B$83:S83)</f>
        <v>-7962824.506778813</v>
      </c>
      <c r="T84" s="127">
        <f>SUM($B$83:T83)</f>
        <v>-7082151.6045694361</v>
      </c>
      <c r="U84" s="127">
        <f>SUM($B$83:U83)</f>
        <v>-6166519.7426785799</v>
      </c>
      <c r="V84" s="127">
        <f>SUM($B$83:V83)</f>
        <v>-5214383.4211605918</v>
      </c>
      <c r="W84" s="127">
        <f>SUM($B$83:W83)</f>
        <v>-4224128.8150937958</v>
      </c>
      <c r="X84" s="127">
        <f>SUM($B$83:X83)</f>
        <v>-3194070.7540030037</v>
      </c>
      <c r="Y84" s="127">
        <f>SUM($B$83:Y83)</f>
        <v>-2583321.3597918311</v>
      </c>
      <c r="Z84" s="127">
        <f>SUM($B$83:Z83)</f>
        <v>-1468299.585002552</v>
      </c>
      <c r="AA84" s="127">
        <f>SUM($B$83:AA83)</f>
        <v>-307958.5259358685</v>
      </c>
      <c r="AB84" s="127">
        <f>SUM($B$83:AB83)</f>
        <v>899705.33673562226</v>
      </c>
      <c r="AC84" s="127">
        <f>SUM($B$83:AC83)</f>
        <v>2156784.0958849844</v>
      </c>
      <c r="AD84" s="127">
        <f>SUM($B$83:AD83)</f>
        <v>3465462.3336770413</v>
      </c>
      <c r="AE84" s="127">
        <f>SUM($B$83:AE83)</f>
        <v>4230566.9397753598</v>
      </c>
      <c r="AF84" s="127">
        <f>SUM($B$83:AF83)</f>
        <v>5649388.4635647293</v>
      </c>
      <c r="AG84" s="127">
        <f>SUM($B$83:AG83)</f>
        <v>7126959.9486266673</v>
      </c>
      <c r="AH84" s="127">
        <f>SUM($B$83:AH83)</f>
        <v>8665878.6708178092</v>
      </c>
      <c r="AI84" s="127">
        <f>SUM($B$83:AI83)</f>
        <v>10268856.728910916</v>
      </c>
      <c r="AJ84" s="127">
        <f>SUM($B$83:AJ83)</f>
        <v>11938726.120798862</v>
      </c>
      <c r="AK84" s="127">
        <f>SUM($B$83:AK83)</f>
        <v>12903930.15179278</v>
      </c>
      <c r="AL84" s="127">
        <f>SUM($B$83:AL83)</f>
        <v>14716584.538853338</v>
      </c>
      <c r="AM84" s="127">
        <f>SUM($B$83:AM83)</f>
        <v>16605399.836320179</v>
      </c>
      <c r="AN84" s="127">
        <f>SUM($B$83:AN83)</f>
        <v>18573743.040350113</v>
      </c>
      <c r="AO84" s="127">
        <f>SUM($B$83:AO83)</f>
        <v>20625129.998565357</v>
      </c>
    </row>
    <row r="85" spans="1:41" x14ac:dyDescent="0.2">
      <c r="A85" s="128" t="s">
        <v>275</v>
      </c>
      <c r="B85" s="134">
        <f t="shared" ref="B85:AM85" si="49">1/POWER((1+$B$44),B73)</f>
        <v>0.93777936065805434</v>
      </c>
      <c r="C85" s="134">
        <f t="shared" si="49"/>
        <v>0.82471142437609202</v>
      </c>
      <c r="D85" s="134">
        <f t="shared" si="49"/>
        <v>0.7252760745546496</v>
      </c>
      <c r="E85" s="134">
        <f t="shared" si="49"/>
        <v>0.63782963200655141</v>
      </c>
      <c r="F85" s="134">
        <f t="shared" si="49"/>
        <v>0.56092659573173109</v>
      </c>
      <c r="G85" s="134">
        <f t="shared" si="49"/>
        <v>0.49329574859883135</v>
      </c>
      <c r="H85" s="134">
        <f t="shared" si="49"/>
        <v>0.43381914396168442</v>
      </c>
      <c r="I85" s="134">
        <f t="shared" si="49"/>
        <v>0.38151362585672716</v>
      </c>
      <c r="J85" s="134">
        <f t="shared" si="49"/>
        <v>0.33551457730782436</v>
      </c>
      <c r="K85" s="134">
        <f t="shared" si="49"/>
        <v>0.29506162809587938</v>
      </c>
      <c r="L85" s="134">
        <f t="shared" si="49"/>
        <v>0.25948608574081378</v>
      </c>
      <c r="M85" s="134">
        <f t="shared" si="49"/>
        <v>0.2281998819284265</v>
      </c>
      <c r="N85" s="134">
        <f t="shared" si="49"/>
        <v>0.20068585166513633</v>
      </c>
      <c r="O85" s="134">
        <f t="shared" si="49"/>
        <v>0.17648918447378092</v>
      </c>
      <c r="P85" s="134">
        <f t="shared" si="49"/>
        <v>0.15520990631763337</v>
      </c>
      <c r="Q85" s="134">
        <f t="shared" si="49"/>
        <v>0.13649626797786774</v>
      </c>
      <c r="R85" s="134">
        <f t="shared" si="49"/>
        <v>0.12003893059349906</v>
      </c>
      <c r="S85" s="134">
        <f t="shared" si="49"/>
        <v>0.10556585225002113</v>
      </c>
      <c r="T85" s="134">
        <f t="shared" si="49"/>
        <v>9.2837791091391383E-2</v>
      </c>
      <c r="U85" s="134">
        <f t="shared" si="49"/>
        <v>8.1644350621221856E-2</v>
      </c>
      <c r="V85" s="134">
        <f t="shared" si="49"/>
        <v>7.1800501821494903E-2</v>
      </c>
      <c r="W85" s="134">
        <f t="shared" si="49"/>
        <v>6.314352459897539E-2</v>
      </c>
      <c r="X85" s="134">
        <f t="shared" si="49"/>
        <v>5.5530318001033675E-2</v>
      </c>
      <c r="Y85" s="134">
        <f t="shared" si="49"/>
        <v>4.8835034738399147E-2</v>
      </c>
      <c r="Z85" s="134">
        <f t="shared" si="49"/>
        <v>4.2947000913199494E-2</v>
      </c>
      <c r="AA85" s="134">
        <f t="shared" si="49"/>
        <v>3.7768886565121354E-2</v>
      </c>
      <c r="AB85" s="134">
        <f t="shared" si="49"/>
        <v>3.3215096794583898E-2</v>
      </c>
      <c r="AC85" s="134">
        <f t="shared" si="49"/>
        <v>2.9210356867983386E-2</v>
      </c>
      <c r="AD85" s="134">
        <f t="shared" si="49"/>
        <v>2.5688467916615415E-2</v>
      </c>
      <c r="AE85" s="134">
        <f t="shared" si="49"/>
        <v>2.2591212660817352E-2</v>
      </c>
      <c r="AF85" s="134">
        <f t="shared" si="49"/>
        <v>1.9867393070809383E-2</v>
      </c>
      <c r="AG85" s="134">
        <f t="shared" si="49"/>
        <v>1.7471984056643557E-2</v>
      </c>
      <c r="AH85" s="134">
        <f t="shared" si="49"/>
        <v>1.536538919764625E-2</v>
      </c>
      <c r="AI85" s="134">
        <f t="shared" si="49"/>
        <v>1.351278620846562E-2</v>
      </c>
      <c r="AJ85" s="134">
        <f t="shared" si="49"/>
        <v>1.1883551322192957E-2</v>
      </c>
      <c r="AK85" s="134">
        <f t="shared" si="49"/>
        <v>1.0450753075536858E-2</v>
      </c>
      <c r="AL85" s="134">
        <f t="shared" si="49"/>
        <v>9.1907071282533309E-3</v>
      </c>
      <c r="AM85" s="134">
        <f t="shared" si="49"/>
        <v>8.0825847579397824E-3</v>
      </c>
      <c r="AN85" s="134">
        <f t="shared" ref="AN85:AO85" si="50">1/POWER((1+$B$44),AN73)</f>
        <v>7.1080685585610632E-3</v>
      </c>
      <c r="AO85" s="134">
        <f t="shared" si="50"/>
        <v>6.251049651359651E-3</v>
      </c>
    </row>
    <row r="86" spans="1:41" ht="28.5" x14ac:dyDescent="0.2">
      <c r="A86" s="126" t="s">
        <v>276</v>
      </c>
      <c r="B86" s="127">
        <f>B83*B85</f>
        <v>-1422156.4671283492</v>
      </c>
      <c r="C86" s="127">
        <f>C83*C85</f>
        <v>0</v>
      </c>
      <c r="D86" s="127">
        <f t="shared" ref="D86:AM86" si="51">D83*D85</f>
        <v>-162128.86645441345</v>
      </c>
      <c r="E86" s="127">
        <f t="shared" si="51"/>
        <v>-5442.6066282082229</v>
      </c>
      <c r="F86" s="127">
        <f t="shared" si="51"/>
        <v>0</v>
      </c>
      <c r="G86" s="127">
        <f t="shared" si="51"/>
        <v>-3972265.2882951209</v>
      </c>
      <c r="H86" s="127">
        <f t="shared" si="51"/>
        <v>-2573680.0129062915</v>
      </c>
      <c r="I86" s="127">
        <f t="shared" si="51"/>
        <v>488179.74483204703</v>
      </c>
      <c r="J86" s="127">
        <f t="shared" si="51"/>
        <v>189243.48392736094</v>
      </c>
      <c r="K86" s="127">
        <f t="shared" si="51"/>
        <v>178526.82276017641</v>
      </c>
      <c r="L86" s="127">
        <f t="shared" si="51"/>
        <v>168494.83990817322</v>
      </c>
      <c r="M86" s="127">
        <f t="shared" si="51"/>
        <v>91241.706026145257</v>
      </c>
      <c r="N86" s="127">
        <f t="shared" si="51"/>
        <v>140459.61024715399</v>
      </c>
      <c r="O86" s="127">
        <f t="shared" si="51"/>
        <v>128283.81153373579</v>
      </c>
      <c r="P86" s="127">
        <f t="shared" si="51"/>
        <v>117187.24651751721</v>
      </c>
      <c r="Q86" s="127">
        <f t="shared" si="51"/>
        <v>107071.55371855147</v>
      </c>
      <c r="R86" s="127">
        <f t="shared" si="51"/>
        <v>97847.636446836754</v>
      </c>
      <c r="S86" s="127">
        <f t="shared" si="51"/>
        <v>51904.716291900229</v>
      </c>
      <c r="T86" s="127">
        <f t="shared" si="51"/>
        <v>81759.726915163454</v>
      </c>
      <c r="U86" s="127">
        <f t="shared" si="51"/>
        <v>74756.168772179255</v>
      </c>
      <c r="V86" s="127">
        <f t="shared" si="51"/>
        <v>68363.865687463767</v>
      </c>
      <c r="W86" s="127">
        <f t="shared" si="51"/>
        <v>62528.166077427406</v>
      </c>
      <c r="X86" s="127">
        <f t="shared" si="51"/>
        <v>57199.451691899856</v>
      </c>
      <c r="Y86" s="127">
        <f t="shared" si="51"/>
        <v>29825.967882758847</v>
      </c>
      <c r="Z86" s="127">
        <f t="shared" si="51"/>
        <v>47886.841180112489</v>
      </c>
      <c r="AA86" s="127">
        <f t="shared" si="51"/>
        <v>43824.789836742348</v>
      </c>
      <c r="AB86" s="127">
        <f t="shared" si="51"/>
        <v>40112.672093954643</v>
      </c>
      <c r="AC86" s="127">
        <f t="shared" si="51"/>
        <v>36719.719165914597</v>
      </c>
      <c r="AD86" s="127">
        <f t="shared" si="51"/>
        <v>33617.938924694063</v>
      </c>
      <c r="AE86" s="127">
        <f t="shared" si="51"/>
        <v>17284.640864137997</v>
      </c>
      <c r="AF86" s="127">
        <f t="shared" si="51"/>
        <v>28188.284910448136</v>
      </c>
      <c r="AG86" s="127">
        <f t="shared" si="51"/>
        <v>25816.105429553314</v>
      </c>
      <c r="AH86" s="127">
        <f t="shared" si="51"/>
        <v>23646.085110011347</v>
      </c>
      <c r="AI86" s="127">
        <f t="shared" si="51"/>
        <v>21660.699795873541</v>
      </c>
      <c r="AJ86" s="127">
        <f t="shared" si="51"/>
        <v>19843.978619859547</v>
      </c>
      <c r="AK86" s="127">
        <f t="shared" si="51"/>
        <v>10087.108995430257</v>
      </c>
      <c r="AL86" s="127">
        <f t="shared" si="51"/>
        <v>16659.575596217146</v>
      </c>
      <c r="AM86" s="127">
        <f t="shared" si="51"/>
        <v>15266.509733868985</v>
      </c>
      <c r="AN86" s="127">
        <f t="shared" ref="AN86:AO86" si="52">AN83*AN85</f>
        <v>13991.118441022531</v>
      </c>
      <c r="AO86" s="127">
        <f t="shared" si="52"/>
        <v>12823.321729955136</v>
      </c>
    </row>
    <row r="87" spans="1:41" ht="14.25" x14ac:dyDescent="0.2">
      <c r="A87" s="126" t="s">
        <v>277</v>
      </c>
      <c r="B87" s="127">
        <f>SUM($B$86:B86)</f>
        <v>-1422156.4671283492</v>
      </c>
      <c r="C87" s="127">
        <f>SUM($B$86:C86)</f>
        <v>-1422156.4671283492</v>
      </c>
      <c r="D87" s="127">
        <f>SUM($B$86:D86)</f>
        <v>-1584285.3335827626</v>
      </c>
      <c r="E87" s="127">
        <f>SUM($B$86:E86)</f>
        <v>-1589727.9402109708</v>
      </c>
      <c r="F87" s="127">
        <f>SUM($B$86:F86)</f>
        <v>-1589727.9402109708</v>
      </c>
      <c r="G87" s="127">
        <f>SUM($B$86:G86)</f>
        <v>-5561993.228506092</v>
      </c>
      <c r="H87" s="127">
        <f>SUM($B$86:H86)</f>
        <v>-8135673.2414123835</v>
      </c>
      <c r="I87" s="127">
        <f>SUM($B$86:I86)</f>
        <v>-7647493.4965803362</v>
      </c>
      <c r="J87" s="127">
        <f>SUM($B$86:J86)</f>
        <v>-7458250.0126529755</v>
      </c>
      <c r="K87" s="127">
        <f>SUM($B$86:K86)</f>
        <v>-7279723.1898927987</v>
      </c>
      <c r="L87" s="127">
        <f>SUM($B$86:L86)</f>
        <v>-7111228.3499846254</v>
      </c>
      <c r="M87" s="127">
        <f>SUM($B$86:M86)</f>
        <v>-7019986.6439584801</v>
      </c>
      <c r="N87" s="127">
        <f>SUM($B$86:N86)</f>
        <v>-6879527.0337113263</v>
      </c>
      <c r="O87" s="127">
        <f>SUM($B$86:O86)</f>
        <v>-6751243.2221775902</v>
      </c>
      <c r="P87" s="127">
        <f>SUM($B$86:P86)</f>
        <v>-6634055.9756600726</v>
      </c>
      <c r="Q87" s="127">
        <f>SUM($B$86:Q86)</f>
        <v>-6526984.4219415216</v>
      </c>
      <c r="R87" s="127">
        <f>SUM($B$86:R86)</f>
        <v>-6429136.7854946852</v>
      </c>
      <c r="S87" s="127">
        <f>SUM($B$86:S86)</f>
        <v>-6377232.0692027854</v>
      </c>
      <c r="T87" s="127">
        <f>SUM($B$86:T86)</f>
        <v>-6295472.3422876224</v>
      </c>
      <c r="U87" s="127">
        <f>SUM($B$86:U86)</f>
        <v>-6220716.1735154428</v>
      </c>
      <c r="V87" s="127">
        <f>SUM($B$86:V86)</f>
        <v>-6152352.3078279793</v>
      </c>
      <c r="W87" s="127">
        <f>SUM($B$86:W86)</f>
        <v>-6089824.1417505518</v>
      </c>
      <c r="X87" s="127">
        <f>SUM($B$86:X86)</f>
        <v>-6032624.6900586523</v>
      </c>
      <c r="Y87" s="127">
        <f>SUM($B$86:Y86)</f>
        <v>-6002798.7221758934</v>
      </c>
      <c r="Z87" s="127">
        <f>SUM($B$86:Z86)</f>
        <v>-5954911.8809957812</v>
      </c>
      <c r="AA87" s="127">
        <f>SUM($B$86:AA86)</f>
        <v>-5911087.0911590392</v>
      </c>
      <c r="AB87" s="127">
        <f>SUM($B$86:AB86)</f>
        <v>-5870974.4190650843</v>
      </c>
      <c r="AC87" s="127">
        <f>SUM($B$86:AC86)</f>
        <v>-5834254.6998991696</v>
      </c>
      <c r="AD87" s="127">
        <f>SUM($B$86:AD86)</f>
        <v>-5800636.7609744752</v>
      </c>
      <c r="AE87" s="127">
        <f>SUM($B$86:AE86)</f>
        <v>-5783352.1201103376</v>
      </c>
      <c r="AF87" s="127">
        <f>SUM($B$86:AF86)</f>
        <v>-5755163.8351998897</v>
      </c>
      <c r="AG87" s="127">
        <f>SUM($B$86:AG86)</f>
        <v>-5729347.7297703363</v>
      </c>
      <c r="AH87" s="127">
        <f>SUM($B$86:AH86)</f>
        <v>-5705701.6446603248</v>
      </c>
      <c r="AI87" s="127">
        <f>SUM($B$86:AI86)</f>
        <v>-5684040.944864451</v>
      </c>
      <c r="AJ87" s="127">
        <f>SUM($B$86:AJ86)</f>
        <v>-5664196.9662445914</v>
      </c>
      <c r="AK87" s="127">
        <f>SUM($B$86:AK86)</f>
        <v>-5654109.8572491612</v>
      </c>
      <c r="AL87" s="127">
        <f>SUM($B$86:AL86)</f>
        <v>-5637450.2816529442</v>
      </c>
      <c r="AM87" s="127">
        <f>SUM($B$86:AM86)</f>
        <v>-5622183.7719190754</v>
      </c>
      <c r="AN87" s="127">
        <f>SUM($B$86:AN86)</f>
        <v>-5608192.6534780525</v>
      </c>
      <c r="AO87" s="127">
        <f>SUM($B$86:AO86)</f>
        <v>-5595369.3317480972</v>
      </c>
    </row>
    <row r="88" spans="1:41" ht="14.25" x14ac:dyDescent="0.2">
      <c r="A88" s="126" t="s">
        <v>278</v>
      </c>
      <c r="B88" s="135">
        <f>IF((ISERR(IRR($B$83:B83))),0,IF(IRR($B$83:B83)&lt;0,0,IRR($B$83:B83)))</f>
        <v>0</v>
      </c>
      <c r="C88" s="135">
        <f>IF((ISERR(IRR($B$83:C83))),0,IF(IRR($B$83:C83)&lt;0,0,IRR($B$83:C83)))</f>
        <v>0</v>
      </c>
      <c r="D88" s="135">
        <f>IF((ISERR(IRR($B$83:D83))),0,IF(IRR($B$83:D83)&lt;0,0,IRR($B$83:D83)))</f>
        <v>0</v>
      </c>
      <c r="E88" s="135">
        <f>IF((ISERR(IRR($B$83:E83))),0,IF(IRR($B$83:E83)&lt;0,0,IRR($B$83:E83)))</f>
        <v>0</v>
      </c>
      <c r="F88" s="135">
        <f>IF((ISERR(IRR($B$83:F83))),0,IF(IRR($B$83:F83)&lt;0,0,IRR($B$83:F83)))</f>
        <v>0</v>
      </c>
      <c r="G88" s="135">
        <f>IF((ISERR(IRR($B$83:G83))),0,IF(IRR($B$83:G83)&lt;0,0,IRR($B$83:G83)))</f>
        <v>0</v>
      </c>
      <c r="H88" s="135">
        <f>IF((ISERR(IRR($B$83:H83))),0,IF(IRR($B$83:H83)&lt;0,0,IRR($B$83:H83)))</f>
        <v>0</v>
      </c>
      <c r="I88" s="135">
        <f>IF((ISERR(IRR($B$83:I83))),0,IF(IRR($B$83:I83)&lt;0,0,IRR($B$83:I83)))</f>
        <v>0</v>
      </c>
      <c r="J88" s="135">
        <f>IF((ISERR(IRR($B$83:J83))),0,IF(IRR($B$83:J83)&lt;0,0,IRR($B$83:J83)))</f>
        <v>0</v>
      </c>
      <c r="K88" s="135">
        <f>IF((ISERR(IRR($B$83:K83))),0,IF(IRR($B$83:K83)&lt;0,0,IRR($B$83:K83)))</f>
        <v>0</v>
      </c>
      <c r="L88" s="135">
        <f>IF((ISERR(IRR($B$83:L83))),0,IF(IRR($B$83:L83)&lt;0,0,IRR($B$83:L83)))</f>
        <v>0</v>
      </c>
      <c r="M88" s="135">
        <f>IF((ISERR(IRR($B$83:M83))),0,IF(IRR($B$83:M83)&lt;0,0,IRR($B$83:M83)))</f>
        <v>0</v>
      </c>
      <c r="N88" s="135">
        <f>IF((ISERR(IRR($B$83:N83))),0,IF(IRR($B$83:N83)&lt;0,0,IRR($B$83:N83)))</f>
        <v>0</v>
      </c>
      <c r="O88" s="135">
        <f>IF((ISERR(IRR($B$83:O83))),0,IF(IRR($B$83:O83)&lt;0,0,IRR($B$83:O83)))</f>
        <v>0</v>
      </c>
      <c r="P88" s="135">
        <f>IF((ISERR(IRR($B$83:P83))),0,IF(IRR($B$83:P83)&lt;0,0,IRR($B$83:P83)))</f>
        <v>0</v>
      </c>
      <c r="Q88" s="135">
        <f>IF((ISERR(IRR($B$83:Q83))),0,IF(IRR($B$83:Q83)&lt;0,0,IRR($B$83:Q83)))</f>
        <v>0</v>
      </c>
      <c r="R88" s="135">
        <f>IF((ISERR(IRR($B$83:R83))),0,IF(IRR($B$83:R83)&lt;0,0,IRR($B$83:R83)))</f>
        <v>0</v>
      </c>
      <c r="S88" s="135">
        <f>IF((ISERR(IRR($B$83:S83))),0,IF(IRR($B$83:S83)&lt;0,0,IRR($B$83:S83)))</f>
        <v>0</v>
      </c>
      <c r="T88" s="135">
        <f>IF((ISERR(IRR($B$83:T83))),0,IF(IRR($B$83:T83)&lt;0,0,IRR($B$83:T83)))</f>
        <v>0</v>
      </c>
      <c r="U88" s="135">
        <f>IF((ISERR(IRR($B$83:U83))),0,IF(IRR($B$83:U83)&lt;0,0,IRR($B$83:U83)))</f>
        <v>0</v>
      </c>
      <c r="V88" s="135">
        <f>IF((ISERR(IRR($B$83:V83))),0,IF(IRR($B$83:V83)&lt;0,0,IRR($B$83:V83)))</f>
        <v>0</v>
      </c>
      <c r="W88" s="135">
        <f>IF((ISERR(IRR($B$83:W83))),0,IF(IRR($B$83:W83)&lt;0,0,IRR($B$83:W83)))</f>
        <v>0</v>
      </c>
      <c r="X88" s="135">
        <f>IF((ISERR(IRR($B$83:X83))),0,IF(IRR($B$83:X83)&lt;0,0,IRR($B$83:X83)))</f>
        <v>0</v>
      </c>
      <c r="Y88" s="135">
        <f>IF((ISERR(IRR($B$83:Y83))),0,IF(IRR($B$83:Y83)&lt;0,0,IRR($B$83:Y83)))</f>
        <v>0</v>
      </c>
      <c r="Z88" s="135">
        <f>IF((ISERR(IRR($B$83:Z83))),0,IF(IRR($B$83:Z83)&lt;0,0,IRR($B$83:Z83)))</f>
        <v>0</v>
      </c>
      <c r="AA88" s="135">
        <f>IF((ISERR(IRR($B$83:AA83))),0,IF(IRR($B$83:AA83)&lt;0,0,IRR($B$83:AA83)))</f>
        <v>0</v>
      </c>
      <c r="AB88" s="135">
        <f>IF((ISERR(IRR($B$83:AB83))),0,IF(IRR($B$83:AB83)&lt;0,0,IRR($B$83:AB83)))</f>
        <v>4.4909437597160373E-3</v>
      </c>
      <c r="AC88" s="135">
        <f>IF((ISERR(IRR($B$83:AC83))),0,IF(IRR($B$83:AC83)&lt;0,0,IRR($B$83:AC83)))</f>
        <v>9.9454914580408005E-3</v>
      </c>
      <c r="AD88" s="135">
        <f>IF((ISERR(IRR($B$83:AD83))),0,IF(IRR($B$83:AD83)&lt;0,0,IRR($B$83:AD83)))</f>
        <v>1.4804585088044497E-2</v>
      </c>
      <c r="AE88" s="135">
        <f>IF((ISERR(IRR($B$83:AE83))),0,IF(IRR($B$83:AE83)&lt;0,0,IRR($B$83:AE83)))</f>
        <v>1.7317995807644371E-2</v>
      </c>
      <c r="AF88" s="135">
        <f>IF((ISERR(IRR($B$83:AF83))),0,IF(IRR($B$83:AF83)&lt;0,0,IRR($B$83:AF83)))</f>
        <v>2.144592178688165E-2</v>
      </c>
      <c r="AG88" s="135">
        <f>IF((ISERR(IRR($B$83:AG83))),0,IF(IRR($B$83:AG83)&lt;0,0,IRR($B$83:AG83)))</f>
        <v>2.5154893698637215E-2</v>
      </c>
      <c r="AH88" s="135">
        <f>IF((ISERR(IRR($B$83:AH83))),0,IF(IRR($B$83:AH83)&lt;0,0,IRR($B$83:AH83)))</f>
        <v>2.8503368841487964E-2</v>
      </c>
      <c r="AI88" s="135">
        <f>IF((ISERR(IRR($B$83:AI83))),0,IF(IRR($B$83:AI83)&lt;0,0,IRR($B$83:AI83)))</f>
        <v>3.1539032008762291E-2</v>
      </c>
      <c r="AJ88" s="135">
        <f>IF((ISERR(IRR($B$83:AJ83))),0,IF(IRR($B$83:AJ83)&lt;0,0,IRR($B$83:AJ83)))</f>
        <v>3.4301316630891643E-2</v>
      </c>
      <c r="AK88" s="135">
        <f>IF((ISERR(IRR($B$83:AK83))),0,IF(IRR($B$83:AK83)&lt;0,0,IRR($B$83:AK83)))</f>
        <v>3.5730106320726263E-2</v>
      </c>
      <c r="AL88" s="135">
        <f>IF((ISERR(IRR($B$83:AL83))),0,IF(IRR($B$83:AL83)&lt;0,0,IRR($B$83:AL83)))</f>
        <v>3.8133855182710397E-2</v>
      </c>
      <c r="AM88" s="135">
        <f>IF((ISERR(IRR($B$83:AM83))),0,IF(IRR($B$83:AM83)&lt;0,0,IRR($B$83:AM83)))</f>
        <v>4.0334360244859147E-2</v>
      </c>
      <c r="AN88" s="135">
        <f>IF((ISERR(IRR($B$83:AN83))),0,IF(IRR($B$83:AN83)&lt;0,0,IRR($B$83:AN83)))</f>
        <v>4.2354823690593291E-2</v>
      </c>
      <c r="AO88" s="135">
        <f>IF((ISERR(IRR($B$83:AO83))),0,IF(IRR($B$83:AO83)&lt;0,0,IRR($B$83:AO83)))</f>
        <v>4.421498649440081E-2</v>
      </c>
    </row>
    <row r="89" spans="1:41" ht="14.25" x14ac:dyDescent="0.2">
      <c r="A89" s="126" t="s">
        <v>279</v>
      </c>
      <c r="B89" s="136">
        <f>IF(AND(B84&gt;0,A84&lt;0),(B74-(B84/(B84-A84))),0)</f>
        <v>0</v>
      </c>
      <c r="C89" s="136">
        <f t="shared" ref="C89:AM89" si="53">IF(AND(C84&gt;0,B84&lt;0),(C74-(C84/(C84-B84))),0)</f>
        <v>0</v>
      </c>
      <c r="D89" s="136">
        <f t="shared" si="53"/>
        <v>0</v>
      </c>
      <c r="E89" s="136">
        <f t="shared" si="53"/>
        <v>0</v>
      </c>
      <c r="F89" s="136">
        <f t="shared" si="53"/>
        <v>0</v>
      </c>
      <c r="G89" s="136">
        <f t="shared" si="53"/>
        <v>0</v>
      </c>
      <c r="H89" s="136">
        <f>IF(AND(H84&gt;0,G84&lt;0),(H74-(H84/(H84-G84))),0)</f>
        <v>0</v>
      </c>
      <c r="I89" s="136">
        <f t="shared" si="53"/>
        <v>0</v>
      </c>
      <c r="J89" s="136">
        <f t="shared" si="53"/>
        <v>0</v>
      </c>
      <c r="K89" s="136">
        <f t="shared" si="53"/>
        <v>0</v>
      </c>
      <c r="L89" s="136">
        <f t="shared" si="53"/>
        <v>0</v>
      </c>
      <c r="M89" s="136">
        <f t="shared" si="53"/>
        <v>0</v>
      </c>
      <c r="N89" s="136">
        <f t="shared" si="53"/>
        <v>0</v>
      </c>
      <c r="O89" s="136">
        <f t="shared" si="53"/>
        <v>0</v>
      </c>
      <c r="P89" s="136">
        <f t="shared" si="53"/>
        <v>0</v>
      </c>
      <c r="Q89" s="136">
        <f t="shared" si="53"/>
        <v>0</v>
      </c>
      <c r="R89" s="136">
        <f t="shared" si="53"/>
        <v>0</v>
      </c>
      <c r="S89" s="136">
        <f t="shared" si="53"/>
        <v>0</v>
      </c>
      <c r="T89" s="136">
        <f t="shared" si="53"/>
        <v>0</v>
      </c>
      <c r="U89" s="136">
        <f t="shared" si="53"/>
        <v>0</v>
      </c>
      <c r="V89" s="136">
        <f t="shared" si="53"/>
        <v>0</v>
      </c>
      <c r="W89" s="136">
        <f t="shared" si="53"/>
        <v>0</v>
      </c>
      <c r="X89" s="136">
        <f t="shared" si="53"/>
        <v>0</v>
      </c>
      <c r="Y89" s="136">
        <f t="shared" si="53"/>
        <v>0</v>
      </c>
      <c r="Z89" s="136">
        <f t="shared" si="53"/>
        <v>0</v>
      </c>
      <c r="AA89" s="136">
        <f t="shared" si="53"/>
        <v>0</v>
      </c>
      <c r="AB89" s="136">
        <f t="shared" si="53"/>
        <v>26.255003511701201</v>
      </c>
      <c r="AC89" s="136">
        <f t="shared" si="53"/>
        <v>0</v>
      </c>
      <c r="AD89" s="136">
        <f t="shared" si="53"/>
        <v>0</v>
      </c>
      <c r="AE89" s="136">
        <f t="shared" si="53"/>
        <v>0</v>
      </c>
      <c r="AF89" s="136">
        <f t="shared" si="53"/>
        <v>0</v>
      </c>
      <c r="AG89" s="136">
        <f t="shared" si="53"/>
        <v>0</v>
      </c>
      <c r="AH89" s="136">
        <f t="shared" si="53"/>
        <v>0</v>
      </c>
      <c r="AI89" s="136">
        <f t="shared" si="53"/>
        <v>0</v>
      </c>
      <c r="AJ89" s="136">
        <f t="shared" si="53"/>
        <v>0</v>
      </c>
      <c r="AK89" s="136">
        <f t="shared" si="53"/>
        <v>0</v>
      </c>
      <c r="AL89" s="136">
        <f t="shared" si="53"/>
        <v>0</v>
      </c>
      <c r="AM89" s="136">
        <f t="shared" si="53"/>
        <v>0</v>
      </c>
      <c r="AN89" s="136">
        <f>IF(AND(AN84&gt;0,AM84&lt;0),(AN74-(AN84/(AN84-AM84))),0)</f>
        <v>0</v>
      </c>
      <c r="AO89" s="136">
        <f>IF(AND(AO84&gt;0,AN84&lt;0),(AO74-(AO84/(AO84-AN84))),0)</f>
        <v>0</v>
      </c>
    </row>
    <row r="90" spans="1:41" ht="14.25" x14ac:dyDescent="0.2">
      <c r="A90" s="137" t="s">
        <v>280</v>
      </c>
      <c r="B90" s="138">
        <f t="shared" ref="B90:AM90" si="54">IF(AND(B87&gt;0,A87&lt;0),(B74-(B87/(B87-A87))),0)</f>
        <v>0</v>
      </c>
      <c r="C90" s="138">
        <f t="shared" si="54"/>
        <v>0</v>
      </c>
      <c r="D90" s="138">
        <f t="shared" si="54"/>
        <v>0</v>
      </c>
      <c r="E90" s="138">
        <f t="shared" si="54"/>
        <v>0</v>
      </c>
      <c r="F90" s="138">
        <f t="shared" si="54"/>
        <v>0</v>
      </c>
      <c r="G90" s="138">
        <f t="shared" si="54"/>
        <v>0</v>
      </c>
      <c r="H90" s="138">
        <f t="shared" si="54"/>
        <v>0</v>
      </c>
      <c r="I90" s="138">
        <f t="shared" si="54"/>
        <v>0</v>
      </c>
      <c r="J90" s="138">
        <f t="shared" si="54"/>
        <v>0</v>
      </c>
      <c r="K90" s="138">
        <f t="shared" si="54"/>
        <v>0</v>
      </c>
      <c r="L90" s="138">
        <f t="shared" si="54"/>
        <v>0</v>
      </c>
      <c r="M90" s="138">
        <f t="shared" si="54"/>
        <v>0</v>
      </c>
      <c r="N90" s="138">
        <f t="shared" si="54"/>
        <v>0</v>
      </c>
      <c r="O90" s="138">
        <f t="shared" si="54"/>
        <v>0</v>
      </c>
      <c r="P90" s="138">
        <f t="shared" si="54"/>
        <v>0</v>
      </c>
      <c r="Q90" s="138">
        <f t="shared" si="54"/>
        <v>0</v>
      </c>
      <c r="R90" s="138">
        <f t="shared" si="54"/>
        <v>0</v>
      </c>
      <c r="S90" s="138">
        <f t="shared" si="54"/>
        <v>0</v>
      </c>
      <c r="T90" s="138">
        <f t="shared" si="54"/>
        <v>0</v>
      </c>
      <c r="U90" s="138">
        <f t="shared" si="54"/>
        <v>0</v>
      </c>
      <c r="V90" s="138">
        <f t="shared" si="54"/>
        <v>0</v>
      </c>
      <c r="W90" s="138">
        <f t="shared" si="54"/>
        <v>0</v>
      </c>
      <c r="X90" s="138">
        <f t="shared" si="54"/>
        <v>0</v>
      </c>
      <c r="Y90" s="138">
        <f t="shared" si="54"/>
        <v>0</v>
      </c>
      <c r="Z90" s="138">
        <f t="shared" si="54"/>
        <v>0</v>
      </c>
      <c r="AA90" s="138">
        <f t="shared" si="54"/>
        <v>0</v>
      </c>
      <c r="AB90" s="138">
        <f t="shared" si="54"/>
        <v>0</v>
      </c>
      <c r="AC90" s="138">
        <f t="shared" si="54"/>
        <v>0</v>
      </c>
      <c r="AD90" s="138">
        <f t="shared" si="54"/>
        <v>0</v>
      </c>
      <c r="AE90" s="138">
        <f t="shared" si="54"/>
        <v>0</v>
      </c>
      <c r="AF90" s="138">
        <f t="shared" si="54"/>
        <v>0</v>
      </c>
      <c r="AG90" s="138">
        <f t="shared" si="54"/>
        <v>0</v>
      </c>
      <c r="AH90" s="138">
        <f t="shared" si="54"/>
        <v>0</v>
      </c>
      <c r="AI90" s="138">
        <f t="shared" si="54"/>
        <v>0</v>
      </c>
      <c r="AJ90" s="138">
        <f t="shared" si="54"/>
        <v>0</v>
      </c>
      <c r="AK90" s="138">
        <f t="shared" si="54"/>
        <v>0</v>
      </c>
      <c r="AL90" s="138">
        <f t="shared" si="54"/>
        <v>0</v>
      </c>
      <c r="AM90" s="138">
        <f t="shared" si="54"/>
        <v>0</v>
      </c>
      <c r="AN90" s="138">
        <f>IF(AND(AN87&gt;0,AM87&lt;0),(AN74-(AN87/(AN87-AM87))),0)</f>
        <v>0</v>
      </c>
      <c r="AO90" s="138">
        <f>IF(AND(AO87&gt;0,AN87&lt;0),(AO74-(AO87/(AO87-AN87))),0)</f>
        <v>0</v>
      </c>
    </row>
    <row r="91" spans="1:41" x14ac:dyDescent="0.2">
      <c r="B91" s="139">
        <v>2019</v>
      </c>
      <c r="C91" s="139">
        <f>B91+1</f>
        <v>2020</v>
      </c>
      <c r="D91" s="84">
        <f t="shared" ref="D91:AM92" si="55">C91+1</f>
        <v>2021</v>
      </c>
      <c r="E91" s="84">
        <f t="shared" si="55"/>
        <v>2022</v>
      </c>
      <c r="F91" s="84">
        <f t="shared" si="55"/>
        <v>2023</v>
      </c>
      <c r="G91" s="84">
        <f t="shared" si="55"/>
        <v>2024</v>
      </c>
      <c r="H91" s="84">
        <f t="shared" si="55"/>
        <v>2025</v>
      </c>
      <c r="I91" s="84">
        <f t="shared" si="55"/>
        <v>2026</v>
      </c>
      <c r="J91" s="84">
        <f t="shared" si="55"/>
        <v>2027</v>
      </c>
      <c r="K91" s="84">
        <f t="shared" si="55"/>
        <v>2028</v>
      </c>
      <c r="L91" s="84">
        <f t="shared" si="55"/>
        <v>2029</v>
      </c>
      <c r="M91" s="84">
        <f t="shared" si="55"/>
        <v>2030</v>
      </c>
      <c r="N91" s="84">
        <f t="shared" si="55"/>
        <v>2031</v>
      </c>
      <c r="O91" s="84">
        <f t="shared" si="55"/>
        <v>2032</v>
      </c>
      <c r="P91" s="84">
        <f t="shared" si="55"/>
        <v>2033</v>
      </c>
      <c r="Q91" s="84">
        <f t="shared" si="55"/>
        <v>2034</v>
      </c>
      <c r="R91" s="84">
        <f t="shared" si="55"/>
        <v>2035</v>
      </c>
      <c r="S91" s="84">
        <f t="shared" si="55"/>
        <v>2036</v>
      </c>
      <c r="T91" s="84">
        <f t="shared" si="55"/>
        <v>2037</v>
      </c>
      <c r="U91" s="84">
        <f t="shared" si="55"/>
        <v>2038</v>
      </c>
      <c r="V91" s="84">
        <f t="shared" si="55"/>
        <v>2039</v>
      </c>
      <c r="W91" s="84">
        <f t="shared" si="55"/>
        <v>2040</v>
      </c>
      <c r="X91" s="84">
        <f t="shared" si="55"/>
        <v>2041</v>
      </c>
      <c r="Y91" s="84">
        <f t="shared" si="55"/>
        <v>2042</v>
      </c>
      <c r="Z91" s="84">
        <f t="shared" si="55"/>
        <v>2043</v>
      </c>
      <c r="AA91" s="84">
        <f t="shared" si="55"/>
        <v>2044</v>
      </c>
      <c r="AB91" s="84">
        <f t="shared" si="55"/>
        <v>2045</v>
      </c>
      <c r="AC91" s="84">
        <f t="shared" si="55"/>
        <v>2046</v>
      </c>
      <c r="AD91" s="84">
        <f t="shared" si="55"/>
        <v>2047</v>
      </c>
      <c r="AE91" s="84">
        <f t="shared" si="55"/>
        <v>2048</v>
      </c>
      <c r="AF91" s="84">
        <f t="shared" si="55"/>
        <v>2049</v>
      </c>
      <c r="AG91" s="84">
        <f t="shared" si="55"/>
        <v>2050</v>
      </c>
      <c r="AH91" s="84">
        <f t="shared" si="55"/>
        <v>2051</v>
      </c>
      <c r="AI91" s="84">
        <f t="shared" si="55"/>
        <v>2052</v>
      </c>
      <c r="AJ91" s="84">
        <f t="shared" si="55"/>
        <v>2053</v>
      </c>
      <c r="AK91" s="84">
        <f t="shared" si="55"/>
        <v>2054</v>
      </c>
      <c r="AL91" s="84">
        <f t="shared" si="55"/>
        <v>2055</v>
      </c>
      <c r="AM91" s="84">
        <f t="shared" si="55"/>
        <v>2056</v>
      </c>
      <c r="AN91" s="84">
        <f>AM91+1</f>
        <v>2057</v>
      </c>
      <c r="AO91" s="84">
        <f>AN91+1</f>
        <v>2058</v>
      </c>
    </row>
    <row r="92" spans="1:41" ht="15.6" customHeight="1" x14ac:dyDescent="0.2">
      <c r="A92" s="140" t="s">
        <v>281</v>
      </c>
      <c r="B92" s="141"/>
      <c r="C92" s="141"/>
      <c r="D92" s="141"/>
      <c r="E92" s="141"/>
      <c r="F92" s="141"/>
      <c r="G92" s="141"/>
      <c r="H92" s="141"/>
      <c r="I92" s="141">
        <v>1</v>
      </c>
      <c r="J92" s="141">
        <f>I92+1</f>
        <v>2</v>
      </c>
      <c r="K92" s="141">
        <f t="shared" si="55"/>
        <v>3</v>
      </c>
      <c r="L92" s="141">
        <f t="shared" si="55"/>
        <v>4</v>
      </c>
      <c r="M92" s="141">
        <f t="shared" si="55"/>
        <v>5</v>
      </c>
      <c r="N92" s="141">
        <f t="shared" si="55"/>
        <v>6</v>
      </c>
      <c r="O92" s="141">
        <f t="shared" si="55"/>
        <v>7</v>
      </c>
      <c r="P92" s="141">
        <f t="shared" si="55"/>
        <v>8</v>
      </c>
      <c r="Q92" s="141">
        <f>P92+1</f>
        <v>9</v>
      </c>
      <c r="R92" s="141">
        <f>Q92+1</f>
        <v>10</v>
      </c>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row>
    <row r="93" spans="1:41" ht="12.75" x14ac:dyDescent="0.2">
      <c r="A93" s="142" t="s">
        <v>282</v>
      </c>
      <c r="B93" s="142"/>
      <c r="C93" s="142"/>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row>
    <row r="94" spans="1:41" ht="12.75" x14ac:dyDescent="0.2">
      <c r="A94" s="142" t="s">
        <v>283</v>
      </c>
      <c r="B94" s="142"/>
      <c r="C94" s="142"/>
      <c r="D94" s="142"/>
      <c r="E94" s="142"/>
      <c r="F94" s="142"/>
      <c r="G94" s="142"/>
      <c r="H94" s="142"/>
      <c r="I94" s="142"/>
      <c r="J94" s="142"/>
      <c r="K94" s="142"/>
      <c r="L94" s="142"/>
      <c r="M94" s="142"/>
      <c r="N94" s="142"/>
      <c r="O94" s="142"/>
      <c r="P94" s="142"/>
      <c r="Q94" s="142"/>
      <c r="R94" s="142"/>
      <c r="S94" s="142"/>
      <c r="T94" s="142"/>
      <c r="U94" s="142"/>
      <c r="V94" s="142"/>
      <c r="W94" s="142"/>
      <c r="X94" s="142"/>
      <c r="Y94" s="142"/>
      <c r="Z94" s="142"/>
      <c r="AA94" s="142"/>
      <c r="AB94" s="142"/>
      <c r="AC94" s="142"/>
      <c r="AD94" s="142"/>
      <c r="AE94" s="142"/>
      <c r="AF94" s="142"/>
      <c r="AG94" s="142"/>
      <c r="AH94" s="142"/>
      <c r="AI94" s="142"/>
      <c r="AJ94" s="142"/>
      <c r="AK94" s="142"/>
      <c r="AL94" s="142"/>
      <c r="AM94" s="142"/>
      <c r="AN94" s="142"/>
      <c r="AO94" s="142"/>
    </row>
    <row r="95" spans="1:41" ht="12.75" x14ac:dyDescent="0.2">
      <c r="A95" s="142" t="s">
        <v>284</v>
      </c>
      <c r="B95" s="142"/>
      <c r="C95" s="142"/>
      <c r="D95" s="142"/>
      <c r="E95" s="142"/>
      <c r="F95" s="142"/>
      <c r="G95" s="142"/>
      <c r="H95" s="142"/>
      <c r="I95" s="142"/>
      <c r="J95" s="142"/>
      <c r="K95" s="142"/>
      <c r="L95" s="142"/>
      <c r="M95" s="142"/>
      <c r="N95" s="142"/>
      <c r="O95" s="142"/>
      <c r="P95" s="142"/>
      <c r="Q95" s="142"/>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row>
    <row r="96" spans="1:41" ht="12.75" x14ac:dyDescent="0.2">
      <c r="A96" s="141" t="s">
        <v>285</v>
      </c>
      <c r="B96" s="141"/>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41"/>
      <c r="AA96" s="141"/>
      <c r="AB96" s="141"/>
      <c r="AC96" s="141"/>
      <c r="AD96" s="141"/>
      <c r="AE96" s="141"/>
      <c r="AF96" s="141"/>
      <c r="AG96" s="141"/>
      <c r="AH96" s="141"/>
      <c r="AI96" s="141"/>
      <c r="AJ96" s="141"/>
      <c r="AK96" s="141"/>
      <c r="AL96" s="141"/>
      <c r="AM96" s="141"/>
      <c r="AN96" s="141"/>
      <c r="AO96" s="141"/>
    </row>
    <row r="97" spans="1:57" ht="33" customHeight="1" x14ac:dyDescent="0.2">
      <c r="A97" s="368" t="s">
        <v>286</v>
      </c>
      <c r="B97" s="368"/>
      <c r="C97" s="368"/>
      <c r="D97" s="368"/>
      <c r="E97" s="368"/>
      <c r="F97" s="368"/>
      <c r="G97" s="368"/>
      <c r="H97" s="368"/>
      <c r="I97" s="368"/>
      <c r="J97" s="368"/>
      <c r="K97" s="368"/>
      <c r="L97" s="368"/>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AJ97" s="130"/>
      <c r="AK97" s="130"/>
      <c r="AL97" s="130"/>
      <c r="AM97" s="130"/>
      <c r="AN97" s="130"/>
      <c r="AO97" s="130"/>
    </row>
    <row r="98" spans="1:57" hidden="1" x14ac:dyDescent="0.2">
      <c r="C98" s="143"/>
      <c r="AN98" s="84"/>
      <c r="AO98" s="84"/>
    </row>
    <row r="99" spans="1:57" ht="12.75" hidden="1" x14ac:dyDescent="0.2">
      <c r="A99" s="144"/>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c r="AA99" s="145"/>
      <c r="AB99" s="145"/>
      <c r="AC99" s="145"/>
      <c r="AD99" s="145"/>
      <c r="AE99" s="145"/>
      <c r="AF99" s="145"/>
      <c r="AG99" s="145"/>
      <c r="AH99" s="145"/>
      <c r="AI99" s="145"/>
      <c r="AJ99" s="145"/>
      <c r="AK99" s="145"/>
      <c r="AL99" s="145"/>
      <c r="AM99" s="145"/>
      <c r="AN99" s="145"/>
      <c r="AO99" s="145"/>
      <c r="AP99" s="145"/>
      <c r="AQ99" s="145"/>
      <c r="AR99" s="145"/>
      <c r="AS99" s="145"/>
      <c r="AT99" s="145"/>
      <c r="AU99" s="145"/>
      <c r="AV99" s="145"/>
      <c r="AW99" s="145"/>
      <c r="AX99" s="145"/>
      <c r="AY99" s="145"/>
      <c r="AZ99" s="145"/>
      <c r="BA99" s="145"/>
      <c r="BB99" s="145"/>
      <c r="BC99" s="145"/>
      <c r="BD99" s="145"/>
      <c r="BE99" s="145"/>
    </row>
    <row r="100" spans="1:57" ht="12.75" hidden="1" x14ac:dyDescent="0.2">
      <c r="A100" s="146"/>
      <c r="B100" s="147">
        <v>2019</v>
      </c>
      <c r="C100" s="147">
        <v>2020</v>
      </c>
      <c r="D100" s="148">
        <f t="shared" ref="D100:AM100" si="56">C100+1</f>
        <v>2021</v>
      </c>
      <c r="E100" s="148">
        <f t="shared" si="56"/>
        <v>2022</v>
      </c>
      <c r="F100" s="148">
        <f t="shared" si="56"/>
        <v>2023</v>
      </c>
      <c r="G100" s="148">
        <f t="shared" si="56"/>
        <v>2024</v>
      </c>
      <c r="H100" s="148">
        <f t="shared" si="56"/>
        <v>2025</v>
      </c>
      <c r="I100" s="148">
        <f t="shared" si="56"/>
        <v>2026</v>
      </c>
      <c r="J100" s="148">
        <f t="shared" si="56"/>
        <v>2027</v>
      </c>
      <c r="K100" s="148">
        <f t="shared" si="56"/>
        <v>2028</v>
      </c>
      <c r="L100" s="148">
        <f t="shared" si="56"/>
        <v>2029</v>
      </c>
      <c r="M100" s="148">
        <f t="shared" si="56"/>
        <v>2030</v>
      </c>
      <c r="N100" s="148">
        <f t="shared" si="56"/>
        <v>2031</v>
      </c>
      <c r="O100" s="148">
        <f t="shared" si="56"/>
        <v>2032</v>
      </c>
      <c r="P100" s="148">
        <f t="shared" si="56"/>
        <v>2033</v>
      </c>
      <c r="Q100" s="148">
        <f t="shared" si="56"/>
        <v>2034</v>
      </c>
      <c r="R100" s="148">
        <f t="shared" si="56"/>
        <v>2035</v>
      </c>
      <c r="S100" s="148">
        <f t="shared" si="56"/>
        <v>2036</v>
      </c>
      <c r="T100" s="148">
        <f t="shared" si="56"/>
        <v>2037</v>
      </c>
      <c r="U100" s="148">
        <f t="shared" si="56"/>
        <v>2038</v>
      </c>
      <c r="V100" s="148">
        <f t="shared" si="56"/>
        <v>2039</v>
      </c>
      <c r="W100" s="148">
        <f t="shared" si="56"/>
        <v>2040</v>
      </c>
      <c r="X100" s="148">
        <f t="shared" si="56"/>
        <v>2041</v>
      </c>
      <c r="Y100" s="148">
        <f t="shared" si="56"/>
        <v>2042</v>
      </c>
      <c r="Z100" s="148">
        <f t="shared" si="56"/>
        <v>2043</v>
      </c>
      <c r="AA100" s="148">
        <f t="shared" si="56"/>
        <v>2044</v>
      </c>
      <c r="AB100" s="148">
        <f t="shared" si="56"/>
        <v>2045</v>
      </c>
      <c r="AC100" s="148">
        <f t="shared" si="56"/>
        <v>2046</v>
      </c>
      <c r="AD100" s="148">
        <f t="shared" si="56"/>
        <v>2047</v>
      </c>
      <c r="AE100" s="148">
        <f t="shared" si="56"/>
        <v>2048</v>
      </c>
      <c r="AF100" s="148">
        <f t="shared" si="56"/>
        <v>2049</v>
      </c>
      <c r="AG100" s="148">
        <f t="shared" si="56"/>
        <v>2050</v>
      </c>
      <c r="AH100" s="148">
        <f t="shared" si="56"/>
        <v>2051</v>
      </c>
      <c r="AI100" s="148">
        <f t="shared" si="56"/>
        <v>2052</v>
      </c>
      <c r="AJ100" s="148">
        <f t="shared" si="56"/>
        <v>2053</v>
      </c>
      <c r="AK100" s="148">
        <f t="shared" si="56"/>
        <v>2054</v>
      </c>
      <c r="AL100" s="148">
        <f t="shared" si="56"/>
        <v>2055</v>
      </c>
      <c r="AM100" s="148">
        <f t="shared" si="56"/>
        <v>2056</v>
      </c>
      <c r="AN100" s="148">
        <f>AM100+1</f>
        <v>2057</v>
      </c>
      <c r="AO100" s="148">
        <f>AN100+1</f>
        <v>2058</v>
      </c>
      <c r="AP100" s="149"/>
      <c r="AQ100" s="149"/>
      <c r="AR100" s="149"/>
      <c r="AS100" s="149"/>
    </row>
    <row r="101" spans="1:57" ht="12.75" hidden="1" x14ac:dyDescent="0.2">
      <c r="A101" s="150" t="s">
        <v>287</v>
      </c>
      <c r="B101" s="151"/>
      <c r="C101" s="151">
        <f>C103*$B$105*$B$106*1000</f>
        <v>0</v>
      </c>
      <c r="D101" s="151">
        <f t="shared" ref="D101:G101" si="57">D103*$B$105*$B$106*1000</f>
        <v>0</v>
      </c>
      <c r="E101" s="151">
        <f>E103*$B$105*$B$106*1000</f>
        <v>0</v>
      </c>
      <c r="F101" s="151">
        <f t="shared" si="57"/>
        <v>0</v>
      </c>
      <c r="G101" s="151">
        <f t="shared" si="57"/>
        <v>0</v>
      </c>
      <c r="H101" s="151"/>
      <c r="I101" s="151">
        <f>I106*$E$112</f>
        <v>294441.05591999996</v>
      </c>
      <c r="J101" s="151">
        <f t="shared" ref="J101:AO101" si="58">J106*$E$112</f>
        <v>309714.84347999998</v>
      </c>
      <c r="K101" s="151">
        <f t="shared" si="58"/>
        <v>322256.74991999997</v>
      </c>
      <c r="L101" s="151">
        <f t="shared" si="58"/>
        <v>335147.44859999995</v>
      </c>
      <c r="M101" s="151">
        <f t="shared" si="58"/>
        <v>335147.44859999995</v>
      </c>
      <c r="N101" s="151">
        <f t="shared" si="58"/>
        <v>335147.44859999995</v>
      </c>
      <c r="O101" s="151">
        <f t="shared" si="58"/>
        <v>335147.44859999995</v>
      </c>
      <c r="P101" s="151">
        <f t="shared" si="58"/>
        <v>335147.44859999995</v>
      </c>
      <c r="Q101" s="151">
        <f t="shared" si="58"/>
        <v>335147.44859999995</v>
      </c>
      <c r="R101" s="151">
        <f t="shared" si="58"/>
        <v>335147.44859999995</v>
      </c>
      <c r="S101" s="151">
        <f t="shared" si="58"/>
        <v>335147.44859999995</v>
      </c>
      <c r="T101" s="151">
        <f t="shared" si="58"/>
        <v>335147.44859999995</v>
      </c>
      <c r="U101" s="151">
        <f t="shared" si="58"/>
        <v>335147.44859999995</v>
      </c>
      <c r="V101" s="151">
        <f t="shared" si="58"/>
        <v>335147.44859999995</v>
      </c>
      <c r="W101" s="151">
        <f t="shared" si="58"/>
        <v>335147.44859999995</v>
      </c>
      <c r="X101" s="151">
        <f t="shared" si="58"/>
        <v>335147.44859999995</v>
      </c>
      <c r="Y101" s="151">
        <f t="shared" si="58"/>
        <v>335147.44859999995</v>
      </c>
      <c r="Z101" s="151">
        <f t="shared" si="58"/>
        <v>335147.44859999995</v>
      </c>
      <c r="AA101" s="151">
        <f t="shared" si="58"/>
        <v>335147.44859999995</v>
      </c>
      <c r="AB101" s="151">
        <f t="shared" si="58"/>
        <v>335147.44859999995</v>
      </c>
      <c r="AC101" s="151">
        <f t="shared" si="58"/>
        <v>335147.44859999995</v>
      </c>
      <c r="AD101" s="151">
        <f t="shared" si="58"/>
        <v>335147.44859999995</v>
      </c>
      <c r="AE101" s="151">
        <f t="shared" si="58"/>
        <v>335147.44859999995</v>
      </c>
      <c r="AF101" s="151">
        <f t="shared" si="58"/>
        <v>335147.44859999995</v>
      </c>
      <c r="AG101" s="151">
        <f t="shared" si="58"/>
        <v>335147.44859999995</v>
      </c>
      <c r="AH101" s="151">
        <f t="shared" si="58"/>
        <v>335147.44859999995</v>
      </c>
      <c r="AI101" s="151">
        <f t="shared" si="58"/>
        <v>335147.44859999995</v>
      </c>
      <c r="AJ101" s="151">
        <f t="shared" si="58"/>
        <v>335147.44859999995</v>
      </c>
      <c r="AK101" s="151">
        <f t="shared" si="58"/>
        <v>335147.44859999995</v>
      </c>
      <c r="AL101" s="151">
        <f t="shared" si="58"/>
        <v>335147.44859999995</v>
      </c>
      <c r="AM101" s="151">
        <f t="shared" si="58"/>
        <v>335147.44859999995</v>
      </c>
      <c r="AN101" s="151">
        <f t="shared" si="58"/>
        <v>335147.44859999995</v>
      </c>
      <c r="AO101" s="151">
        <f t="shared" si="58"/>
        <v>335147.44859999995</v>
      </c>
      <c r="AP101" s="149"/>
      <c r="AQ101" s="149"/>
      <c r="AR101" s="149"/>
      <c r="AS101" s="149"/>
    </row>
    <row r="102" spans="1:57" ht="25.5" hidden="1" x14ac:dyDescent="0.2">
      <c r="A102" s="150" t="s">
        <v>288</v>
      </c>
      <c r="B102" s="151"/>
      <c r="C102" s="151"/>
      <c r="D102" s="151"/>
      <c r="E102" s="151"/>
      <c r="F102" s="151"/>
      <c r="G102" s="151"/>
      <c r="H102" s="152"/>
      <c r="I102" s="152">
        <v>517042.37155906996</v>
      </c>
      <c r="J102" s="151"/>
      <c r="K102" s="151"/>
      <c r="L102" s="151"/>
      <c r="M102" s="151"/>
      <c r="N102" s="151"/>
      <c r="O102" s="151"/>
      <c r="P102" s="151"/>
      <c r="Q102" s="151"/>
      <c r="R102" s="151"/>
      <c r="S102" s="151"/>
      <c r="T102" s="151"/>
      <c r="U102" s="151"/>
      <c r="V102" s="151"/>
      <c r="W102" s="151"/>
      <c r="X102" s="151"/>
      <c r="Y102" s="151"/>
      <c r="Z102" s="151"/>
      <c r="AA102" s="151"/>
      <c r="AB102" s="151"/>
      <c r="AC102" s="151"/>
      <c r="AD102" s="151"/>
      <c r="AE102" s="151"/>
      <c r="AF102" s="151"/>
      <c r="AG102" s="151"/>
      <c r="AH102" s="151"/>
      <c r="AI102" s="151"/>
      <c r="AJ102" s="151"/>
      <c r="AK102" s="151"/>
      <c r="AL102" s="151"/>
      <c r="AM102" s="151"/>
      <c r="AN102" s="151"/>
      <c r="AO102" s="151"/>
      <c r="AP102" s="149"/>
      <c r="AQ102" s="149"/>
      <c r="AR102" s="149"/>
      <c r="AS102" s="149"/>
    </row>
    <row r="103" spans="1:57" ht="12.75" hidden="1" x14ac:dyDescent="0.2">
      <c r="A103" s="150" t="s">
        <v>289</v>
      </c>
      <c r="B103" s="148"/>
      <c r="C103" s="148">
        <f>B103+$I$115*C107</f>
        <v>0</v>
      </c>
      <c r="D103" s="148">
        <f>C103+$I$115*D107</f>
        <v>0</v>
      </c>
      <c r="E103" s="148">
        <f t="shared" ref="E103:AM103" si="59">D103+$I$115*E107</f>
        <v>0</v>
      </c>
      <c r="F103" s="148">
        <f t="shared" si="59"/>
        <v>0</v>
      </c>
      <c r="G103" s="148">
        <f t="shared" si="59"/>
        <v>0</v>
      </c>
      <c r="H103" s="148">
        <f t="shared" si="59"/>
        <v>0</v>
      </c>
      <c r="I103" s="148">
        <f t="shared" si="59"/>
        <v>0</v>
      </c>
      <c r="J103" s="148">
        <f t="shared" si="59"/>
        <v>0</v>
      </c>
      <c r="K103" s="148">
        <f t="shared" si="59"/>
        <v>0</v>
      </c>
      <c r="L103" s="148">
        <f t="shared" si="59"/>
        <v>0</v>
      </c>
      <c r="M103" s="148">
        <f t="shared" si="59"/>
        <v>0</v>
      </c>
      <c r="N103" s="148">
        <f t="shared" si="59"/>
        <v>0</v>
      </c>
      <c r="O103" s="148">
        <f t="shared" si="59"/>
        <v>0</v>
      </c>
      <c r="P103" s="148">
        <f t="shared" si="59"/>
        <v>0</v>
      </c>
      <c r="Q103" s="148">
        <f t="shared" si="59"/>
        <v>0</v>
      </c>
      <c r="R103" s="148">
        <f t="shared" si="59"/>
        <v>0</v>
      </c>
      <c r="S103" s="148">
        <f t="shared" si="59"/>
        <v>0</v>
      </c>
      <c r="T103" s="148">
        <f t="shared" si="59"/>
        <v>0</v>
      </c>
      <c r="U103" s="148">
        <f t="shared" si="59"/>
        <v>0</v>
      </c>
      <c r="V103" s="148">
        <f t="shared" si="59"/>
        <v>0</v>
      </c>
      <c r="W103" s="148">
        <f t="shared" si="59"/>
        <v>0</v>
      </c>
      <c r="X103" s="148">
        <f t="shared" si="59"/>
        <v>0</v>
      </c>
      <c r="Y103" s="148">
        <f t="shared" si="59"/>
        <v>0</v>
      </c>
      <c r="Z103" s="148">
        <f t="shared" si="59"/>
        <v>0</v>
      </c>
      <c r="AA103" s="148">
        <f t="shared" si="59"/>
        <v>0</v>
      </c>
      <c r="AB103" s="148">
        <f t="shared" si="59"/>
        <v>0</v>
      </c>
      <c r="AC103" s="148">
        <f t="shared" si="59"/>
        <v>0</v>
      </c>
      <c r="AD103" s="148">
        <f t="shared" si="59"/>
        <v>0</v>
      </c>
      <c r="AE103" s="148">
        <f t="shared" si="59"/>
        <v>0</v>
      </c>
      <c r="AF103" s="148">
        <f t="shared" si="59"/>
        <v>0</v>
      </c>
      <c r="AG103" s="148">
        <f t="shared" si="59"/>
        <v>0</v>
      </c>
      <c r="AH103" s="148">
        <f t="shared" si="59"/>
        <v>0</v>
      </c>
      <c r="AI103" s="148">
        <f t="shared" si="59"/>
        <v>0</v>
      </c>
      <c r="AJ103" s="148">
        <f t="shared" si="59"/>
        <v>0</v>
      </c>
      <c r="AK103" s="148">
        <f t="shared" si="59"/>
        <v>0</v>
      </c>
      <c r="AL103" s="148">
        <f t="shared" si="59"/>
        <v>0</v>
      </c>
      <c r="AM103" s="148">
        <f t="shared" si="59"/>
        <v>0</v>
      </c>
      <c r="AN103" s="148">
        <f>AM103+$I$115*AN107</f>
        <v>0</v>
      </c>
      <c r="AO103" s="148">
        <f>AN103+$I$115*AO107</f>
        <v>0</v>
      </c>
      <c r="AP103" s="149"/>
      <c r="AQ103" s="149"/>
      <c r="AR103" s="149"/>
      <c r="AS103" s="149"/>
    </row>
    <row r="104" spans="1:57" ht="12.75" hidden="1" x14ac:dyDescent="0.2">
      <c r="A104" s="150" t="s">
        <v>290</v>
      </c>
      <c r="B104" s="153">
        <v>0.93</v>
      </c>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c r="AM104" s="148"/>
      <c r="AN104" s="148"/>
      <c r="AO104" s="148"/>
      <c r="AP104" s="149"/>
      <c r="AQ104" s="149"/>
      <c r="AR104" s="149"/>
      <c r="AS104" s="149"/>
    </row>
    <row r="105" spans="1:57" ht="12.75" hidden="1" x14ac:dyDescent="0.2">
      <c r="A105" s="150" t="s">
        <v>291</v>
      </c>
      <c r="B105" s="153">
        <v>3500</v>
      </c>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c r="AC105" s="148"/>
      <c r="AD105" s="148"/>
      <c r="AE105" s="148"/>
      <c r="AF105" s="148"/>
      <c r="AG105" s="148"/>
      <c r="AH105" s="148"/>
      <c r="AI105" s="148"/>
      <c r="AJ105" s="148"/>
      <c r="AK105" s="148"/>
      <c r="AL105" s="148"/>
      <c r="AM105" s="148"/>
      <c r="AN105" s="148"/>
      <c r="AO105" s="148"/>
      <c r="AP105" s="149"/>
      <c r="AQ105" s="149"/>
      <c r="AR105" s="149"/>
      <c r="AS105" s="149"/>
    </row>
    <row r="106" spans="1:57" ht="12.75" hidden="1" x14ac:dyDescent="0.2">
      <c r="A106" s="150" t="s">
        <v>292</v>
      </c>
      <c r="B106" s="147"/>
      <c r="C106" s="154"/>
      <c r="D106" s="154"/>
      <c r="E106" s="154"/>
      <c r="F106" s="154">
        <v>2337.77</v>
      </c>
      <c r="G106" s="154">
        <v>2449.0500000000002</v>
      </c>
      <c r="H106" s="154">
        <v>2750.9</v>
      </c>
      <c r="I106" s="154">
        <v>3022.14</v>
      </c>
      <c r="J106" s="154">
        <v>3178.91</v>
      </c>
      <c r="K106" s="154">
        <v>3307.64</v>
      </c>
      <c r="L106" s="154">
        <v>3439.95</v>
      </c>
      <c r="M106" s="154">
        <f>L106</f>
        <v>3439.95</v>
      </c>
      <c r="N106" s="154">
        <f t="shared" ref="N106:AR106" si="60">M106</f>
        <v>3439.95</v>
      </c>
      <c r="O106" s="154">
        <f t="shared" si="60"/>
        <v>3439.95</v>
      </c>
      <c r="P106" s="154">
        <f t="shared" si="60"/>
        <v>3439.95</v>
      </c>
      <c r="Q106" s="154">
        <f t="shared" si="60"/>
        <v>3439.95</v>
      </c>
      <c r="R106" s="154">
        <f t="shared" si="60"/>
        <v>3439.95</v>
      </c>
      <c r="S106" s="154">
        <f t="shared" si="60"/>
        <v>3439.95</v>
      </c>
      <c r="T106" s="154">
        <f t="shared" si="60"/>
        <v>3439.95</v>
      </c>
      <c r="U106" s="154">
        <f t="shared" si="60"/>
        <v>3439.95</v>
      </c>
      <c r="V106" s="154">
        <f t="shared" si="60"/>
        <v>3439.95</v>
      </c>
      <c r="W106" s="154">
        <f t="shared" si="60"/>
        <v>3439.95</v>
      </c>
      <c r="X106" s="154">
        <f t="shared" si="60"/>
        <v>3439.95</v>
      </c>
      <c r="Y106" s="154">
        <f t="shared" si="60"/>
        <v>3439.95</v>
      </c>
      <c r="Z106" s="154">
        <f t="shared" si="60"/>
        <v>3439.95</v>
      </c>
      <c r="AA106" s="154">
        <f t="shared" si="60"/>
        <v>3439.95</v>
      </c>
      <c r="AB106" s="154">
        <f t="shared" si="60"/>
        <v>3439.95</v>
      </c>
      <c r="AC106" s="154">
        <f t="shared" si="60"/>
        <v>3439.95</v>
      </c>
      <c r="AD106" s="154">
        <f t="shared" si="60"/>
        <v>3439.95</v>
      </c>
      <c r="AE106" s="154">
        <f t="shared" si="60"/>
        <v>3439.95</v>
      </c>
      <c r="AF106" s="154">
        <f t="shared" si="60"/>
        <v>3439.95</v>
      </c>
      <c r="AG106" s="154">
        <f t="shared" si="60"/>
        <v>3439.95</v>
      </c>
      <c r="AH106" s="154">
        <f t="shared" si="60"/>
        <v>3439.95</v>
      </c>
      <c r="AI106" s="154">
        <f t="shared" si="60"/>
        <v>3439.95</v>
      </c>
      <c r="AJ106" s="154">
        <f t="shared" si="60"/>
        <v>3439.95</v>
      </c>
      <c r="AK106" s="154">
        <f t="shared" si="60"/>
        <v>3439.95</v>
      </c>
      <c r="AL106" s="154">
        <f t="shared" si="60"/>
        <v>3439.95</v>
      </c>
      <c r="AM106" s="154">
        <f t="shared" si="60"/>
        <v>3439.95</v>
      </c>
      <c r="AN106" s="154">
        <f t="shared" si="60"/>
        <v>3439.95</v>
      </c>
      <c r="AO106" s="154">
        <f t="shared" si="60"/>
        <v>3439.95</v>
      </c>
      <c r="AP106" s="154">
        <f t="shared" si="60"/>
        <v>3439.95</v>
      </c>
      <c r="AQ106" s="154">
        <f t="shared" si="60"/>
        <v>3439.95</v>
      </c>
      <c r="AR106" s="154">
        <f t="shared" si="60"/>
        <v>3439.95</v>
      </c>
      <c r="AS106" s="149"/>
    </row>
    <row r="107" spans="1:57" ht="15" hidden="1" x14ac:dyDescent="0.2">
      <c r="A107" s="155" t="s">
        <v>293</v>
      </c>
      <c r="B107" s="156">
        <v>0</v>
      </c>
      <c r="C107" s="157">
        <v>0.33</v>
      </c>
      <c r="D107" s="157">
        <v>0.33</v>
      </c>
      <c r="E107" s="157">
        <v>0.34</v>
      </c>
      <c r="F107" s="156">
        <v>0</v>
      </c>
      <c r="G107" s="156">
        <v>0</v>
      </c>
      <c r="H107" s="156">
        <v>0</v>
      </c>
      <c r="I107" s="156">
        <v>0</v>
      </c>
      <c r="J107" s="156">
        <v>0</v>
      </c>
      <c r="K107" s="156">
        <v>0</v>
      </c>
      <c r="L107" s="156">
        <v>0</v>
      </c>
      <c r="M107" s="156">
        <v>0</v>
      </c>
      <c r="N107" s="156">
        <v>0</v>
      </c>
      <c r="O107" s="156">
        <v>0</v>
      </c>
      <c r="P107" s="156">
        <v>0</v>
      </c>
      <c r="Q107" s="156">
        <v>0</v>
      </c>
      <c r="R107" s="156">
        <v>0</v>
      </c>
      <c r="S107" s="156">
        <v>0</v>
      </c>
      <c r="T107" s="156">
        <v>0</v>
      </c>
      <c r="U107" s="156">
        <v>0</v>
      </c>
      <c r="V107" s="156">
        <v>0</v>
      </c>
      <c r="W107" s="156">
        <v>0</v>
      </c>
      <c r="X107" s="156">
        <v>0</v>
      </c>
      <c r="Y107" s="156">
        <v>0</v>
      </c>
      <c r="Z107" s="156">
        <v>0</v>
      </c>
      <c r="AA107" s="156">
        <v>0</v>
      </c>
      <c r="AB107" s="156">
        <v>0</v>
      </c>
      <c r="AC107" s="156">
        <v>0</v>
      </c>
      <c r="AD107" s="156">
        <v>0</v>
      </c>
      <c r="AE107" s="156">
        <v>0</v>
      </c>
      <c r="AF107" s="156">
        <v>0</v>
      </c>
      <c r="AG107" s="156">
        <v>0</v>
      </c>
      <c r="AH107" s="156">
        <v>0</v>
      </c>
      <c r="AI107" s="156">
        <v>0</v>
      </c>
      <c r="AJ107" s="156">
        <v>0</v>
      </c>
      <c r="AK107" s="156">
        <v>0</v>
      </c>
      <c r="AL107" s="156">
        <v>0</v>
      </c>
      <c r="AM107" s="156">
        <v>0</v>
      </c>
      <c r="AN107" s="156">
        <v>0</v>
      </c>
      <c r="AO107" s="156">
        <v>0</v>
      </c>
      <c r="AP107" s="149"/>
      <c r="AQ107" s="149"/>
      <c r="AR107" s="149"/>
      <c r="AS107" s="149"/>
    </row>
    <row r="108" spans="1:57" ht="12.75" hidden="1" x14ac:dyDescent="0.2">
      <c r="A108" s="144"/>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c r="AA108" s="145"/>
      <c r="AB108" s="145"/>
      <c r="AC108" s="145"/>
      <c r="AD108" s="145"/>
      <c r="AE108" s="145"/>
      <c r="AF108" s="145"/>
      <c r="AG108" s="145"/>
      <c r="AH108" s="145"/>
      <c r="AI108" s="145"/>
      <c r="AJ108" s="145"/>
      <c r="AK108" s="145"/>
      <c r="AL108" s="145"/>
      <c r="AM108" s="145"/>
      <c r="AN108" s="145"/>
      <c r="AO108" s="145"/>
      <c r="AP108" s="145"/>
      <c r="AQ108" s="145"/>
      <c r="AR108" s="145"/>
      <c r="AS108" s="149"/>
      <c r="AT108" s="145"/>
      <c r="AU108" s="145"/>
      <c r="AV108" s="145"/>
      <c r="AW108" s="145"/>
      <c r="AX108" s="145"/>
      <c r="AY108" s="145"/>
      <c r="AZ108" s="145"/>
      <c r="BA108" s="145"/>
      <c r="BB108" s="145"/>
      <c r="BC108" s="145"/>
      <c r="BD108" s="145"/>
      <c r="BE108" s="145"/>
    </row>
    <row r="109" spans="1:57" ht="12.75" hidden="1" x14ac:dyDescent="0.2">
      <c r="A109" s="144"/>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c r="AA109" s="145"/>
      <c r="AB109" s="145"/>
      <c r="AC109" s="145"/>
      <c r="AD109" s="145"/>
      <c r="AE109" s="145"/>
      <c r="AF109" s="145"/>
      <c r="AG109" s="145"/>
      <c r="AH109" s="145"/>
      <c r="AI109" s="145"/>
      <c r="AJ109" s="145"/>
      <c r="AK109" s="145"/>
      <c r="AL109" s="145"/>
      <c r="AM109" s="145"/>
      <c r="AN109" s="145"/>
      <c r="AO109" s="145"/>
      <c r="AP109" s="145"/>
      <c r="AQ109" s="145"/>
      <c r="AR109" s="145"/>
      <c r="AS109" s="149"/>
      <c r="AT109" s="145"/>
      <c r="AU109" s="145"/>
      <c r="AV109" s="145"/>
      <c r="AW109" s="145"/>
      <c r="AX109" s="145"/>
      <c r="AY109" s="145"/>
      <c r="AZ109" s="145"/>
      <c r="BA109" s="145"/>
      <c r="BB109" s="145"/>
      <c r="BC109" s="145"/>
      <c r="BD109" s="145"/>
      <c r="BE109" s="145"/>
    </row>
    <row r="110" spans="1:57" ht="12.75" hidden="1" x14ac:dyDescent="0.2">
      <c r="A110" s="146"/>
      <c r="B110" s="369" t="s">
        <v>294</v>
      </c>
      <c r="C110" s="370"/>
      <c r="D110" s="369" t="s">
        <v>295</v>
      </c>
      <c r="E110" s="370"/>
      <c r="F110" s="146"/>
      <c r="G110" s="146"/>
      <c r="H110" s="146"/>
      <c r="I110" s="146"/>
      <c r="J110" s="146"/>
      <c r="K110" s="145"/>
      <c r="L110" s="145"/>
      <c r="M110" s="145"/>
      <c r="N110" s="145"/>
      <c r="O110" s="145"/>
      <c r="P110" s="145"/>
      <c r="Q110" s="145"/>
      <c r="R110" s="145"/>
      <c r="S110" s="145"/>
      <c r="T110" s="145"/>
      <c r="U110" s="145"/>
      <c r="V110" s="145"/>
      <c r="W110" s="145"/>
      <c r="X110" s="145"/>
      <c r="Y110" s="145"/>
      <c r="Z110" s="145"/>
      <c r="AA110" s="145"/>
      <c r="AB110" s="145"/>
      <c r="AC110" s="145"/>
      <c r="AD110" s="145"/>
      <c r="AE110" s="145"/>
      <c r="AF110" s="145"/>
      <c r="AG110" s="145"/>
      <c r="AH110" s="145"/>
      <c r="AI110" s="145"/>
      <c r="AJ110" s="145"/>
      <c r="AK110" s="145"/>
      <c r="AL110" s="145"/>
      <c r="AM110" s="145"/>
      <c r="AN110" s="145"/>
      <c r="AO110" s="145"/>
      <c r="AP110" s="145"/>
      <c r="AQ110" s="145"/>
      <c r="AR110" s="145"/>
      <c r="AS110" s="149"/>
      <c r="AT110" s="145"/>
      <c r="AU110" s="145"/>
      <c r="AV110" s="145"/>
      <c r="AW110" s="145"/>
      <c r="AX110" s="145"/>
      <c r="AY110" s="145"/>
      <c r="AZ110" s="145"/>
      <c r="BA110" s="145"/>
      <c r="BB110" s="145"/>
      <c r="BC110" s="145"/>
      <c r="BD110" s="145"/>
      <c r="BE110" s="145"/>
    </row>
    <row r="111" spans="1:57" ht="12.75" hidden="1" x14ac:dyDescent="0.2">
      <c r="A111" s="150" t="s">
        <v>296</v>
      </c>
      <c r="B111" s="158"/>
      <c r="C111" s="146" t="s">
        <v>297</v>
      </c>
      <c r="D111" s="158"/>
      <c r="E111" s="146" t="s">
        <v>297</v>
      </c>
      <c r="F111" s="146"/>
      <c r="G111" s="146"/>
      <c r="H111" s="146"/>
      <c r="I111" s="146"/>
      <c r="J111" s="146"/>
      <c r="K111" s="145"/>
      <c r="L111" s="145"/>
      <c r="M111" s="145"/>
      <c r="N111" s="145"/>
      <c r="O111" s="145"/>
      <c r="P111" s="145"/>
      <c r="Q111" s="145"/>
      <c r="R111" s="145"/>
      <c r="S111" s="145"/>
      <c r="T111" s="145"/>
      <c r="U111" s="145"/>
      <c r="V111" s="145"/>
      <c r="W111" s="145"/>
      <c r="X111" s="145"/>
      <c r="Y111" s="145"/>
      <c r="Z111" s="145"/>
      <c r="AA111" s="145"/>
      <c r="AB111" s="145"/>
      <c r="AC111" s="145"/>
      <c r="AD111" s="145"/>
      <c r="AE111" s="145"/>
      <c r="AF111" s="145"/>
      <c r="AG111" s="145"/>
      <c r="AH111" s="145"/>
      <c r="AI111" s="145"/>
      <c r="AJ111" s="145"/>
      <c r="AK111" s="145"/>
      <c r="AL111" s="145"/>
      <c r="AM111" s="145"/>
      <c r="AN111" s="145"/>
      <c r="AO111" s="145"/>
      <c r="AP111" s="145"/>
      <c r="AQ111" s="145"/>
      <c r="AR111" s="145"/>
      <c r="AS111" s="145"/>
      <c r="AT111" s="145"/>
      <c r="AU111" s="145"/>
      <c r="AV111" s="145"/>
      <c r="AW111" s="145"/>
      <c r="AX111" s="145"/>
      <c r="AY111" s="145"/>
      <c r="AZ111" s="145"/>
      <c r="BA111" s="145"/>
      <c r="BB111" s="145"/>
      <c r="BC111" s="145"/>
      <c r="BD111" s="145"/>
      <c r="BE111" s="145"/>
    </row>
    <row r="112" spans="1:57" ht="25.5" hidden="1" x14ac:dyDescent="0.2">
      <c r="A112" s="150" t="s">
        <v>298</v>
      </c>
      <c r="B112" s="146"/>
      <c r="C112" s="146"/>
      <c r="D112" s="146"/>
      <c r="E112" s="146">
        <v>97.427999999999997</v>
      </c>
      <c r="F112" s="146"/>
      <c r="G112" s="146"/>
      <c r="H112" s="146"/>
      <c r="I112" s="146"/>
      <c r="J112" s="146"/>
      <c r="K112" s="145"/>
      <c r="L112" s="145"/>
      <c r="M112" s="145"/>
      <c r="N112" s="145"/>
      <c r="O112" s="145"/>
      <c r="P112" s="145"/>
      <c r="Q112" s="145"/>
      <c r="R112" s="145"/>
      <c r="S112" s="145"/>
      <c r="T112" s="145"/>
      <c r="U112" s="145"/>
      <c r="V112" s="145"/>
      <c r="W112" s="145"/>
      <c r="X112" s="145"/>
      <c r="Y112" s="145"/>
      <c r="Z112" s="145"/>
      <c r="AA112" s="145"/>
      <c r="AB112" s="145"/>
      <c r="AC112" s="145"/>
      <c r="AD112" s="145"/>
      <c r="AE112" s="145"/>
      <c r="AF112" s="145"/>
      <c r="AG112" s="145"/>
      <c r="AH112" s="145"/>
      <c r="AI112" s="145"/>
      <c r="AJ112" s="145"/>
      <c r="AK112" s="145"/>
      <c r="AL112" s="145"/>
      <c r="AM112" s="145"/>
      <c r="AN112" s="145"/>
      <c r="AO112" s="145"/>
      <c r="AP112" s="145"/>
      <c r="AQ112" s="145"/>
      <c r="AR112" s="145"/>
      <c r="AS112" s="145"/>
      <c r="AT112" s="145"/>
      <c r="AU112" s="145"/>
      <c r="AV112" s="145"/>
      <c r="AW112" s="145"/>
      <c r="AX112" s="145"/>
      <c r="AY112" s="145"/>
      <c r="AZ112" s="145"/>
      <c r="BA112" s="145"/>
      <c r="BB112" s="145"/>
      <c r="BC112" s="145"/>
      <c r="BD112" s="145"/>
      <c r="BE112" s="145"/>
    </row>
    <row r="113" spans="1:57" ht="25.5" hidden="1" x14ac:dyDescent="0.2">
      <c r="A113" s="150" t="s">
        <v>296</v>
      </c>
      <c r="B113" s="146">
        <f>$B$104*B111</f>
        <v>0</v>
      </c>
      <c r="C113" s="146" t="s">
        <v>299</v>
      </c>
      <c r="D113" s="146">
        <f>$B$104*D111</f>
        <v>0</v>
      </c>
      <c r="E113" s="146" t="s">
        <v>299</v>
      </c>
      <c r="F113" s="150" t="s">
        <v>300</v>
      </c>
      <c r="G113" s="146">
        <f>D111-B111</f>
        <v>0</v>
      </c>
      <c r="H113" s="146" t="s">
        <v>297</v>
      </c>
      <c r="I113" s="146">
        <f>$B$104*G113</f>
        <v>0</v>
      </c>
      <c r="J113" s="146" t="s">
        <v>299</v>
      </c>
      <c r="K113" s="145"/>
      <c r="L113" s="145"/>
      <c r="M113" s="145"/>
      <c r="N113" s="145"/>
      <c r="O113" s="145"/>
      <c r="P113" s="145"/>
      <c r="Q113" s="145"/>
      <c r="R113" s="145"/>
      <c r="S113" s="145"/>
      <c r="T113" s="145"/>
      <c r="U113" s="145"/>
      <c r="V113" s="145"/>
      <c r="W113" s="145"/>
      <c r="X113" s="145"/>
      <c r="Y113" s="145"/>
      <c r="Z113" s="145"/>
      <c r="AA113" s="145"/>
      <c r="AB113" s="145"/>
      <c r="AC113" s="145"/>
      <c r="AD113" s="145"/>
      <c r="AE113" s="145"/>
      <c r="AF113" s="145"/>
      <c r="AG113" s="145"/>
      <c r="AH113" s="145"/>
      <c r="AI113" s="145"/>
      <c r="AJ113" s="145"/>
      <c r="AK113" s="145"/>
      <c r="AL113" s="145"/>
      <c r="AM113" s="145"/>
      <c r="AN113" s="145"/>
      <c r="AO113" s="145"/>
      <c r="AP113" s="145"/>
      <c r="AQ113" s="145"/>
      <c r="AR113" s="145"/>
      <c r="AS113" s="145"/>
      <c r="AT113" s="145"/>
      <c r="AU113" s="145"/>
      <c r="AV113" s="145"/>
      <c r="AW113" s="145"/>
      <c r="AX113" s="145"/>
      <c r="AY113" s="145"/>
      <c r="AZ113" s="145"/>
      <c r="BA113" s="145"/>
      <c r="BB113" s="145"/>
      <c r="BC113" s="145"/>
      <c r="BD113" s="145"/>
      <c r="BE113" s="145"/>
    </row>
    <row r="114" spans="1:57" ht="25.5" hidden="1" x14ac:dyDescent="0.2">
      <c r="A114" s="146"/>
      <c r="B114" s="146"/>
      <c r="C114" s="146"/>
      <c r="D114" s="146"/>
      <c r="E114" s="146"/>
      <c r="F114" s="150" t="s">
        <v>301</v>
      </c>
      <c r="G114" s="146">
        <f>I114/$B$104</f>
        <v>0</v>
      </c>
      <c r="H114" s="146" t="s">
        <v>297</v>
      </c>
      <c r="I114" s="158"/>
      <c r="J114" s="146" t="s">
        <v>299</v>
      </c>
      <c r="K114" s="145"/>
      <c r="L114" s="145"/>
      <c r="M114" s="145"/>
      <c r="N114" s="145"/>
      <c r="O114" s="145"/>
      <c r="P114" s="145"/>
      <c r="Q114" s="145"/>
      <c r="R114" s="145"/>
      <c r="S114" s="145"/>
      <c r="T114" s="145"/>
      <c r="U114" s="145"/>
      <c r="V114" s="145"/>
      <c r="W114" s="145"/>
      <c r="X114" s="145"/>
      <c r="Y114" s="145"/>
      <c r="Z114" s="145"/>
      <c r="AA114" s="145"/>
      <c r="AB114" s="145"/>
      <c r="AC114" s="145"/>
      <c r="AD114" s="145"/>
      <c r="AE114" s="145"/>
      <c r="AF114" s="145"/>
      <c r="AG114" s="145"/>
      <c r="AH114" s="145"/>
      <c r="AI114" s="145"/>
      <c r="AJ114" s="145"/>
      <c r="AK114" s="145"/>
      <c r="AL114" s="145"/>
      <c r="AM114" s="145"/>
      <c r="AN114" s="145"/>
      <c r="AO114" s="145"/>
      <c r="AP114" s="145"/>
      <c r="AQ114" s="145"/>
      <c r="AR114" s="145"/>
      <c r="AS114" s="145"/>
      <c r="AT114" s="145"/>
      <c r="AU114" s="145"/>
      <c r="AV114" s="145"/>
      <c r="AW114" s="145"/>
      <c r="AX114" s="145"/>
      <c r="AY114" s="145"/>
      <c r="AZ114" s="145"/>
      <c r="BA114" s="145"/>
      <c r="BB114" s="145"/>
      <c r="BC114" s="145"/>
      <c r="BD114" s="145"/>
      <c r="BE114" s="145"/>
    </row>
    <row r="115" spans="1:57" ht="38.25" hidden="1" x14ac:dyDescent="0.2">
      <c r="A115" s="159"/>
      <c r="B115" s="160"/>
      <c r="C115" s="160"/>
      <c r="D115" s="160"/>
      <c r="E115" s="160"/>
      <c r="F115" s="161" t="s">
        <v>302</v>
      </c>
      <c r="G115" s="146">
        <f>G113</f>
        <v>0</v>
      </c>
      <c r="H115" s="146" t="s">
        <v>297</v>
      </c>
      <c r="I115" s="153">
        <f>I113</f>
        <v>0</v>
      </c>
      <c r="J115" s="146" t="s">
        <v>299</v>
      </c>
      <c r="K115" s="145"/>
      <c r="L115" s="145"/>
      <c r="M115" s="145"/>
      <c r="N115" s="145"/>
      <c r="O115" s="145"/>
      <c r="P115" s="145"/>
      <c r="Q115" s="145"/>
      <c r="R115" s="145"/>
      <c r="S115" s="145"/>
      <c r="T115" s="145"/>
      <c r="U115" s="145"/>
      <c r="V115" s="145"/>
      <c r="W115" s="145"/>
      <c r="X115" s="145"/>
      <c r="Y115" s="145"/>
      <c r="Z115" s="145"/>
      <c r="AA115" s="145"/>
      <c r="AB115" s="145"/>
      <c r="AC115" s="145"/>
      <c r="AD115" s="145"/>
      <c r="AE115" s="145"/>
      <c r="AF115" s="145"/>
      <c r="AG115" s="145"/>
      <c r="AH115" s="145"/>
      <c r="AI115" s="145"/>
      <c r="AJ115" s="145"/>
      <c r="AK115" s="145"/>
      <c r="AL115" s="145"/>
      <c r="AM115" s="145"/>
      <c r="AN115" s="145"/>
      <c r="AO115" s="145"/>
      <c r="AP115" s="145"/>
      <c r="AQ115" s="145"/>
      <c r="AR115" s="145"/>
      <c r="AS115" s="145"/>
      <c r="AT115" s="145"/>
      <c r="AU115" s="145"/>
      <c r="AV115" s="145"/>
      <c r="AW115" s="145"/>
      <c r="AX115" s="145"/>
      <c r="AY115" s="145"/>
      <c r="AZ115" s="145"/>
      <c r="BA115" s="145"/>
      <c r="BB115" s="145"/>
      <c r="BC115" s="145"/>
      <c r="BD115" s="145"/>
      <c r="BE115" s="145"/>
    </row>
    <row r="116" spans="1:57" ht="12.75" hidden="1" x14ac:dyDescent="0.2">
      <c r="A116" s="162"/>
      <c r="B116" s="82"/>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c r="AC116" s="145"/>
      <c r="AD116" s="145"/>
      <c r="AE116" s="145"/>
      <c r="AF116" s="145"/>
      <c r="AG116" s="145"/>
      <c r="AH116" s="145"/>
      <c r="AI116" s="145"/>
      <c r="AJ116" s="145"/>
      <c r="AK116" s="145"/>
      <c r="AL116" s="145"/>
      <c r="AM116" s="145"/>
      <c r="AN116" s="145"/>
      <c r="AO116" s="145"/>
      <c r="AP116" s="145"/>
      <c r="AQ116" s="145"/>
      <c r="AR116" s="145"/>
      <c r="AS116" s="145"/>
      <c r="AT116" s="145"/>
      <c r="AU116" s="145"/>
      <c r="AV116" s="145"/>
      <c r="AW116" s="145"/>
      <c r="AX116" s="145"/>
      <c r="AY116" s="145"/>
      <c r="AZ116" s="145"/>
      <c r="BA116" s="145"/>
      <c r="BB116" s="145"/>
      <c r="BC116" s="145"/>
      <c r="BD116" s="145"/>
      <c r="BE116" s="145"/>
    </row>
    <row r="117" spans="1:57" hidden="1" x14ac:dyDescent="0.2">
      <c r="A117" s="163" t="s">
        <v>303</v>
      </c>
      <c r="B117" s="164"/>
      <c r="C117" s="82"/>
      <c r="D117" s="371" t="s">
        <v>225</v>
      </c>
      <c r="E117" s="165" t="s">
        <v>144</v>
      </c>
      <c r="F117" s="166">
        <v>35</v>
      </c>
      <c r="G117" s="372" t="s">
        <v>304</v>
      </c>
      <c r="H117" s="82"/>
      <c r="I117" s="82"/>
      <c r="J117" s="82"/>
      <c r="K117" s="82"/>
      <c r="L117" s="82"/>
      <c r="M117" s="82"/>
      <c r="N117" s="82"/>
      <c r="O117" s="82"/>
      <c r="P117" s="82"/>
      <c r="Q117" s="82"/>
      <c r="R117" s="82"/>
      <c r="S117" s="82"/>
      <c r="T117" s="82"/>
      <c r="U117" s="82"/>
      <c r="V117" s="82"/>
      <c r="W117" s="82"/>
      <c r="X117" s="82"/>
      <c r="Y117" s="82"/>
      <c r="Z117" s="82"/>
      <c r="AA117" s="82"/>
      <c r="AB117" s="82"/>
      <c r="AC117" s="82"/>
      <c r="AD117" s="82"/>
      <c r="AE117" s="82"/>
      <c r="AF117" s="82"/>
      <c r="AG117" s="82"/>
      <c r="AH117" s="82"/>
      <c r="AI117" s="82"/>
      <c r="AJ117" s="82"/>
      <c r="AK117" s="82"/>
      <c r="AL117" s="82"/>
      <c r="AM117" s="82"/>
    </row>
    <row r="118" spans="1:57" hidden="1" x14ac:dyDescent="0.2">
      <c r="A118" s="163" t="s">
        <v>225</v>
      </c>
      <c r="B118" s="167"/>
      <c r="C118" s="82"/>
      <c r="D118" s="371"/>
      <c r="E118" s="165" t="s">
        <v>305</v>
      </c>
      <c r="F118" s="166">
        <v>30</v>
      </c>
      <c r="G118" s="372"/>
      <c r="H118" s="82"/>
      <c r="I118" s="82"/>
      <c r="J118" s="82"/>
      <c r="K118" s="82"/>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row>
    <row r="119" spans="1:57" hidden="1" x14ac:dyDescent="0.2">
      <c r="A119" s="163" t="s">
        <v>306</v>
      </c>
      <c r="B119" s="167"/>
      <c r="C119" s="168" t="s">
        <v>307</v>
      </c>
      <c r="D119" s="371"/>
      <c r="E119" s="165" t="s">
        <v>308</v>
      </c>
      <c r="F119" s="166">
        <v>30</v>
      </c>
      <c r="G119" s="372"/>
      <c r="H119" s="82"/>
      <c r="I119" s="82"/>
      <c r="J119" s="82"/>
      <c r="K119" s="82"/>
      <c r="L119" s="82"/>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row>
    <row r="120" spans="1:57" hidden="1" x14ac:dyDescent="0.2">
      <c r="A120" s="169"/>
      <c r="B120" s="170"/>
      <c r="C120" s="168"/>
      <c r="D120" s="371"/>
      <c r="E120" s="165" t="s">
        <v>309</v>
      </c>
      <c r="F120" s="166">
        <v>30</v>
      </c>
      <c r="G120" s="372"/>
      <c r="H120" s="82"/>
      <c r="I120" s="82"/>
      <c r="J120" s="82"/>
      <c r="K120" s="82"/>
      <c r="L120" s="82"/>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c r="AK120" s="82"/>
      <c r="AL120" s="82"/>
      <c r="AM120" s="82"/>
    </row>
    <row r="121" spans="1:57" ht="12.75" hidden="1" x14ac:dyDescent="0.2">
      <c r="A121" s="163" t="s">
        <v>310</v>
      </c>
      <c r="B121" s="171"/>
      <c r="C121" s="82"/>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row>
    <row r="122" spans="1:57" ht="12.75" hidden="1" x14ac:dyDescent="0.2">
      <c r="A122" s="163" t="s">
        <v>311</v>
      </c>
      <c r="B122" s="172"/>
      <c r="C122" s="82"/>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row>
    <row r="123" spans="1:57" ht="12.75" hidden="1" x14ac:dyDescent="0.2">
      <c r="A123" s="162"/>
      <c r="B123" s="173"/>
      <c r="C123" s="82"/>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row>
    <row r="124" spans="1:57" ht="12.75" hidden="1" x14ac:dyDescent="0.2">
      <c r="A124" s="163" t="s">
        <v>312</v>
      </c>
      <c r="B124" s="174">
        <v>0.1371</v>
      </c>
      <c r="C124" s="82"/>
      <c r="D124" s="82"/>
      <c r="E124" s="82"/>
      <c r="F124" s="82"/>
      <c r="G124" s="82"/>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row>
    <row r="125" spans="1:57" hidden="1" x14ac:dyDescent="0.2">
      <c r="A125" s="175"/>
      <c r="B125" s="176">
        <v>2024</v>
      </c>
      <c r="C125" s="176">
        <v>2025</v>
      </c>
      <c r="D125" s="176">
        <v>2026</v>
      </c>
      <c r="E125" s="176">
        <v>2027</v>
      </c>
      <c r="F125" s="176">
        <v>2028</v>
      </c>
      <c r="G125" s="176">
        <v>2029</v>
      </c>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row>
    <row r="126" spans="1:57" ht="12.75" hidden="1" x14ac:dyDescent="0.2">
      <c r="A126" s="177" t="s">
        <v>313</v>
      </c>
      <c r="B126" s="178">
        <v>2449.0500000000002</v>
      </c>
      <c r="C126" s="178">
        <v>2750.9</v>
      </c>
      <c r="D126" s="178">
        <v>3022.14</v>
      </c>
      <c r="E126" s="178">
        <v>3178.91</v>
      </c>
      <c r="F126" s="178">
        <v>3307.64</v>
      </c>
      <c r="G126" s="178">
        <v>3439.95</v>
      </c>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row>
    <row r="127" spans="1:57" ht="12.75" hidden="1" x14ac:dyDescent="0.2">
      <c r="A127" s="82"/>
      <c r="B127" s="82"/>
      <c r="C127" s="82"/>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row>
    <row r="128" spans="1:57" ht="12.75" hidden="1" x14ac:dyDescent="0.2">
      <c r="A128" s="162"/>
      <c r="B128" s="82"/>
      <c r="C128" s="82"/>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row>
    <row r="129" spans="1:41" hidden="1" x14ac:dyDescent="0.2">
      <c r="A129" s="163" t="s">
        <v>314</v>
      </c>
      <c r="C129" s="82"/>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row>
    <row r="130" spans="1:41" ht="12.75" hidden="1" x14ac:dyDescent="0.2">
      <c r="A130" s="163"/>
      <c r="B130" s="179">
        <v>2019</v>
      </c>
      <c r="C130" s="179">
        <f>B130+1</f>
        <v>2020</v>
      </c>
      <c r="D130" s="179">
        <f t="shared" ref="D130:AM130" si="61">C130+1</f>
        <v>2021</v>
      </c>
      <c r="E130" s="179">
        <f t="shared" si="61"/>
        <v>2022</v>
      </c>
      <c r="F130" s="179">
        <f t="shared" si="61"/>
        <v>2023</v>
      </c>
      <c r="G130" s="179">
        <f t="shared" si="61"/>
        <v>2024</v>
      </c>
      <c r="H130" s="179">
        <f t="shared" si="61"/>
        <v>2025</v>
      </c>
      <c r="I130" s="179">
        <f t="shared" si="61"/>
        <v>2026</v>
      </c>
      <c r="J130" s="179">
        <f t="shared" si="61"/>
        <v>2027</v>
      </c>
      <c r="K130" s="179">
        <f t="shared" si="61"/>
        <v>2028</v>
      </c>
      <c r="L130" s="179">
        <f t="shared" si="61"/>
        <v>2029</v>
      </c>
      <c r="M130" s="179">
        <f t="shared" si="61"/>
        <v>2030</v>
      </c>
      <c r="N130" s="179">
        <f t="shared" si="61"/>
        <v>2031</v>
      </c>
      <c r="O130" s="179">
        <f t="shared" si="61"/>
        <v>2032</v>
      </c>
      <c r="P130" s="179">
        <f t="shared" si="61"/>
        <v>2033</v>
      </c>
      <c r="Q130" s="179">
        <f t="shared" si="61"/>
        <v>2034</v>
      </c>
      <c r="R130" s="179">
        <f t="shared" si="61"/>
        <v>2035</v>
      </c>
      <c r="S130" s="179">
        <f t="shared" si="61"/>
        <v>2036</v>
      </c>
      <c r="T130" s="179">
        <f t="shared" si="61"/>
        <v>2037</v>
      </c>
      <c r="U130" s="179">
        <f t="shared" si="61"/>
        <v>2038</v>
      </c>
      <c r="V130" s="179">
        <f t="shared" si="61"/>
        <v>2039</v>
      </c>
      <c r="W130" s="179">
        <f t="shared" si="61"/>
        <v>2040</v>
      </c>
      <c r="X130" s="179">
        <f t="shared" si="61"/>
        <v>2041</v>
      </c>
      <c r="Y130" s="179">
        <f t="shared" si="61"/>
        <v>2042</v>
      </c>
      <c r="Z130" s="179">
        <f t="shared" si="61"/>
        <v>2043</v>
      </c>
      <c r="AA130" s="179">
        <f t="shared" si="61"/>
        <v>2044</v>
      </c>
      <c r="AB130" s="179">
        <f t="shared" si="61"/>
        <v>2045</v>
      </c>
      <c r="AC130" s="179">
        <f t="shared" si="61"/>
        <v>2046</v>
      </c>
      <c r="AD130" s="179">
        <f t="shared" si="61"/>
        <v>2047</v>
      </c>
      <c r="AE130" s="179">
        <f t="shared" si="61"/>
        <v>2048</v>
      </c>
      <c r="AF130" s="179">
        <f t="shared" si="61"/>
        <v>2049</v>
      </c>
      <c r="AG130" s="179">
        <f t="shared" si="61"/>
        <v>2050</v>
      </c>
      <c r="AH130" s="179">
        <f t="shared" si="61"/>
        <v>2051</v>
      </c>
      <c r="AI130" s="179">
        <f t="shared" si="61"/>
        <v>2052</v>
      </c>
      <c r="AJ130" s="179">
        <f t="shared" si="61"/>
        <v>2053</v>
      </c>
      <c r="AK130" s="179">
        <f t="shared" si="61"/>
        <v>2054</v>
      </c>
      <c r="AL130" s="179">
        <f t="shared" si="61"/>
        <v>2055</v>
      </c>
      <c r="AM130" s="179">
        <f t="shared" si="61"/>
        <v>2056</v>
      </c>
      <c r="AN130" s="179">
        <f>AM130+1</f>
        <v>2057</v>
      </c>
      <c r="AO130" s="179">
        <f>AN130+1</f>
        <v>2058</v>
      </c>
    </row>
    <row r="131" spans="1:41" ht="15" hidden="1" x14ac:dyDescent="0.2">
      <c r="A131" s="163" t="s">
        <v>315</v>
      </c>
      <c r="B131" s="180">
        <v>6.8263986418270001E-2</v>
      </c>
      <c r="C131" s="180">
        <v>5.561885224957E-2</v>
      </c>
      <c r="D131" s="180">
        <v>4.9354000000000002E-2</v>
      </c>
      <c r="E131" s="181">
        <v>0.14631427330593999</v>
      </c>
      <c r="F131" s="182">
        <v>9.0964662608273128E-2</v>
      </c>
      <c r="G131" s="182">
        <v>9.1135032622053413E-2</v>
      </c>
      <c r="H131" s="182">
        <v>7.8163170639641913E-2</v>
      </c>
      <c r="I131" s="182">
        <v>5.2628968689616612E-2</v>
      </c>
      <c r="J131" s="182">
        <v>4.4208979893394937E-2</v>
      </c>
      <c r="K131" s="183">
        <f t="shared" ref="K131:AM131" si="62">J131</f>
        <v>4.4208979893394937E-2</v>
      </c>
      <c r="L131" s="183">
        <f t="shared" si="62"/>
        <v>4.4208979893394937E-2</v>
      </c>
      <c r="M131" s="183">
        <f t="shared" si="62"/>
        <v>4.4208979893394937E-2</v>
      </c>
      <c r="N131" s="183">
        <f t="shared" si="62"/>
        <v>4.4208979893394937E-2</v>
      </c>
      <c r="O131" s="183">
        <f t="shared" si="62"/>
        <v>4.4208979893394937E-2</v>
      </c>
      <c r="P131" s="183">
        <f t="shared" si="62"/>
        <v>4.4208979893394937E-2</v>
      </c>
      <c r="Q131" s="183">
        <f t="shared" si="62"/>
        <v>4.4208979893394937E-2</v>
      </c>
      <c r="R131" s="183">
        <f t="shared" si="62"/>
        <v>4.4208979893394937E-2</v>
      </c>
      <c r="S131" s="183">
        <f t="shared" si="62"/>
        <v>4.4208979893394937E-2</v>
      </c>
      <c r="T131" s="183">
        <f t="shared" si="62"/>
        <v>4.4208979893394937E-2</v>
      </c>
      <c r="U131" s="183">
        <f t="shared" si="62"/>
        <v>4.4208979893394937E-2</v>
      </c>
      <c r="V131" s="183">
        <f t="shared" si="62"/>
        <v>4.4208979893394937E-2</v>
      </c>
      <c r="W131" s="183">
        <f t="shared" si="62"/>
        <v>4.4208979893394937E-2</v>
      </c>
      <c r="X131" s="183">
        <f t="shared" si="62"/>
        <v>4.4208979893394937E-2</v>
      </c>
      <c r="Y131" s="183">
        <f t="shared" si="62"/>
        <v>4.4208979893394937E-2</v>
      </c>
      <c r="Z131" s="183">
        <f t="shared" si="62"/>
        <v>4.4208979893394937E-2</v>
      </c>
      <c r="AA131" s="183">
        <f t="shared" si="62"/>
        <v>4.4208979893394937E-2</v>
      </c>
      <c r="AB131" s="183">
        <f t="shared" si="62"/>
        <v>4.4208979893394937E-2</v>
      </c>
      <c r="AC131" s="183">
        <f t="shared" si="62"/>
        <v>4.4208979893394937E-2</v>
      </c>
      <c r="AD131" s="183">
        <f t="shared" si="62"/>
        <v>4.4208979893394937E-2</v>
      </c>
      <c r="AE131" s="183">
        <f t="shared" si="62"/>
        <v>4.4208979893394937E-2</v>
      </c>
      <c r="AF131" s="183">
        <f t="shared" si="62"/>
        <v>4.4208979893394937E-2</v>
      </c>
      <c r="AG131" s="183">
        <f t="shared" si="62"/>
        <v>4.4208979893394937E-2</v>
      </c>
      <c r="AH131" s="183">
        <f t="shared" si="62"/>
        <v>4.4208979893394937E-2</v>
      </c>
      <c r="AI131" s="183">
        <f t="shared" si="62"/>
        <v>4.4208979893394937E-2</v>
      </c>
      <c r="AJ131" s="183">
        <f t="shared" si="62"/>
        <v>4.4208979893394937E-2</v>
      </c>
      <c r="AK131" s="183">
        <f t="shared" si="62"/>
        <v>4.4208979893394937E-2</v>
      </c>
      <c r="AL131" s="183">
        <f t="shared" si="62"/>
        <v>4.4208979893394937E-2</v>
      </c>
      <c r="AM131" s="183">
        <f t="shared" si="62"/>
        <v>4.4208979893394937E-2</v>
      </c>
      <c r="AN131" s="183">
        <f>AM131</f>
        <v>4.4208979893394937E-2</v>
      </c>
      <c r="AO131" s="183">
        <f>AN131</f>
        <v>4.4208979893394937E-2</v>
      </c>
    </row>
    <row r="132" spans="1:41" ht="15" hidden="1" x14ac:dyDescent="0.2">
      <c r="A132" s="163" t="s">
        <v>316</v>
      </c>
      <c r="B132" s="184">
        <f>B131</f>
        <v>6.8263986418270001E-2</v>
      </c>
      <c r="C132" s="184">
        <f>(1+B132)*(1+C131)-1</f>
        <v>0.12767960324240435</v>
      </c>
      <c r="D132" s="184">
        <f>(1+C132)*(1+D131)-1</f>
        <v>0.18333510238082984</v>
      </c>
      <c r="E132" s="184">
        <f>(1+D132)*(1+E131)-1</f>
        <v>0.35647391796309091</v>
      </c>
      <c r="F132" s="184">
        <f t="shared" ref="F132:AM132" si="63">(1+E132)*(1+F131)-1</f>
        <v>0.47986511024752598</v>
      </c>
      <c r="G132" s="184">
        <f>(1+F132)*(1+G131)-1</f>
        <v>0.6147326653461731</v>
      </c>
      <c r="H132" s="184">
        <f t="shared" si="63"/>
        <v>0.74094529020502997</v>
      </c>
      <c r="I132" s="184">
        <f t="shared" si="63"/>
        <v>0.83256944537356614</v>
      </c>
      <c r="J132" s="184">
        <f t="shared" si="63"/>
        <v>0.9135854711373359</v>
      </c>
      <c r="K132" s="184">
        <f t="shared" si="63"/>
        <v>0.99818313275513892</v>
      </c>
      <c r="L132" s="184">
        <f t="shared" si="63"/>
        <v>1.0865207706944315</v>
      </c>
      <c r="M132" s="184">
        <f t="shared" si="63"/>
        <v>1.1787637254932126</v>
      </c>
      <c r="N132" s="184">
        <f t="shared" si="63"/>
        <v>1.275084647226</v>
      </c>
      <c r="O132" s="184">
        <f t="shared" si="63"/>
        <v>1.3756638186509855</v>
      </c>
      <c r="P132" s="184">
        <f t="shared" si="63"/>
        <v>1.4806894926431928</v>
      </c>
      <c r="Q132" s="184">
        <f t="shared" si="63"/>
        <v>1.5903582445452118</v>
      </c>
      <c r="R132" s="184">
        <f t="shared" si="63"/>
        <v>1.704875340095001</v>
      </c>
      <c r="S132" s="184">
        <f t="shared" si="63"/>
        <v>1.8244551196194005</v>
      </c>
      <c r="T132" s="184">
        <f t="shared" si="63"/>
        <v>1.949321399212451</v>
      </c>
      <c r="U132" s="184">
        <f t="shared" si="63"/>
        <v>2.0797078896493937</v>
      </c>
      <c r="V132" s="184">
        <f t="shared" si="63"/>
        <v>2.2158586338204334</v>
      </c>
      <c r="W132" s="184">
        <f t="shared" si="63"/>
        <v>2.3580284635030013</v>
      </c>
      <c r="X132" s="184">
        <f t="shared" si="63"/>
        <v>2.5064834763274533</v>
      </c>
      <c r="Y132" s="184">
        <f t="shared" si="63"/>
        <v>2.6615015338289352</v>
      </c>
      <c r="Z132" s="184">
        <f t="shared" si="63"/>
        <v>2.8233727815176133</v>
      </c>
      <c r="AA132" s="184">
        <f t="shared" si="63"/>
        <v>2.9924001919406789</v>
      </c>
      <c r="AB132" s="184">
        <f t="shared" si="63"/>
        <v>3.1689001317525705</v>
      </c>
      <c r="AC132" s="184">
        <f t="shared" si="63"/>
        <v>3.3532029538547912</v>
      </c>
      <c r="AD132" s="184">
        <f t="shared" si="63"/>
        <v>3.5456536157136247</v>
      </c>
      <c r="AE132" s="184">
        <f t="shared" si="63"/>
        <v>3.7466123250130465</v>
      </c>
      <c r="AF132" s="184">
        <f t="shared" si="63"/>
        <v>3.9564552138512887</v>
      </c>
      <c r="AG132" s="184">
        <f t="shared" si="63"/>
        <v>4.1755750427429525</v>
      </c>
      <c r="AH132" s="184">
        <f t="shared" si="63"/>
        <v>4.4043819357443326</v>
      </c>
      <c r="AI132" s="184">
        <f t="shared" si="63"/>
        <v>4.6433041480778803</v>
      </c>
      <c r="AJ132" s="184">
        <f t="shared" si="63"/>
        <v>4.892788867692567</v>
      </c>
      <c r="AK132" s="184">
        <f t="shared" si="63"/>
        <v>5.1533030522604086</v>
      </c>
      <c r="AL132" s="184">
        <f t="shared" si="63"/>
        <v>5.4253343031757542</v>
      </c>
      <c r="AM132" s="184">
        <f t="shared" si="63"/>
        <v>5.7093917781931918</v>
      </c>
      <c r="AN132" s="184">
        <f>(1+AM132)*(1+AN131)-1</f>
        <v>6.0060071444122434</v>
      </c>
      <c r="AO132" s="184">
        <f>(1+AN132)*(1+AO131)-1</f>
        <v>6.3157355733925451</v>
      </c>
    </row>
    <row r="133" spans="1:41" hidden="1" x14ac:dyDescent="0.2">
      <c r="B133" s="185"/>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c r="AA133" s="186"/>
      <c r="AB133" s="186"/>
      <c r="AC133" s="186"/>
      <c r="AD133" s="186"/>
      <c r="AE133" s="186"/>
      <c r="AF133" s="186"/>
      <c r="AG133" s="186"/>
      <c r="AH133" s="186"/>
      <c r="AI133" s="186"/>
      <c r="AJ133" s="186"/>
      <c r="AK133" s="186"/>
      <c r="AL133" s="186"/>
      <c r="AM133" s="186"/>
      <c r="AN133" s="186"/>
      <c r="AO133" s="186"/>
    </row>
    <row r="134" spans="1:41" ht="12.75" hidden="1" x14ac:dyDescent="0.2">
      <c r="A134" s="162"/>
      <c r="B134" s="187">
        <v>2019</v>
      </c>
      <c r="C134" s="187">
        <f>B134+1</f>
        <v>2020</v>
      </c>
      <c r="D134" s="187">
        <f t="shared" ref="C134:S135" si="64">C134+1</f>
        <v>2021</v>
      </c>
      <c r="E134" s="187">
        <f t="shared" si="64"/>
        <v>2022</v>
      </c>
      <c r="F134" s="187">
        <f t="shared" si="64"/>
        <v>2023</v>
      </c>
      <c r="G134" s="187">
        <f t="shared" si="64"/>
        <v>2024</v>
      </c>
      <c r="H134" s="187">
        <f t="shared" si="64"/>
        <v>2025</v>
      </c>
      <c r="I134" s="187">
        <f t="shared" si="64"/>
        <v>2026</v>
      </c>
      <c r="J134" s="187">
        <f t="shared" si="64"/>
        <v>2027</v>
      </c>
      <c r="K134" s="187">
        <f t="shared" si="64"/>
        <v>2028</v>
      </c>
      <c r="L134" s="187">
        <f t="shared" si="64"/>
        <v>2029</v>
      </c>
      <c r="M134" s="187">
        <f t="shared" si="64"/>
        <v>2030</v>
      </c>
      <c r="N134" s="187">
        <f t="shared" si="64"/>
        <v>2031</v>
      </c>
      <c r="O134" s="187">
        <f t="shared" si="64"/>
        <v>2032</v>
      </c>
      <c r="P134" s="187">
        <f t="shared" si="64"/>
        <v>2033</v>
      </c>
      <c r="Q134" s="187">
        <f t="shared" si="64"/>
        <v>2034</v>
      </c>
      <c r="R134" s="187">
        <f t="shared" si="64"/>
        <v>2035</v>
      </c>
      <c r="S134" s="187">
        <f t="shared" si="64"/>
        <v>2036</v>
      </c>
      <c r="T134" s="187">
        <f t="shared" ref="T134:AI135" si="65">S134+1</f>
        <v>2037</v>
      </c>
      <c r="U134" s="187">
        <f t="shared" si="65"/>
        <v>2038</v>
      </c>
      <c r="V134" s="187">
        <f t="shared" si="65"/>
        <v>2039</v>
      </c>
      <c r="W134" s="187">
        <f t="shared" si="65"/>
        <v>2040</v>
      </c>
      <c r="X134" s="187">
        <f t="shared" si="65"/>
        <v>2041</v>
      </c>
      <c r="Y134" s="187">
        <f t="shared" si="65"/>
        <v>2042</v>
      </c>
      <c r="Z134" s="187">
        <f t="shared" si="65"/>
        <v>2043</v>
      </c>
      <c r="AA134" s="187">
        <f t="shared" si="65"/>
        <v>2044</v>
      </c>
      <c r="AB134" s="187">
        <f t="shared" si="65"/>
        <v>2045</v>
      </c>
      <c r="AC134" s="187">
        <f t="shared" si="65"/>
        <v>2046</v>
      </c>
      <c r="AD134" s="187">
        <f t="shared" si="65"/>
        <v>2047</v>
      </c>
      <c r="AE134" s="187">
        <f t="shared" si="65"/>
        <v>2048</v>
      </c>
      <c r="AF134" s="187">
        <f t="shared" si="65"/>
        <v>2049</v>
      </c>
      <c r="AG134" s="187">
        <f t="shared" si="65"/>
        <v>2050</v>
      </c>
      <c r="AH134" s="187">
        <f t="shared" si="65"/>
        <v>2051</v>
      </c>
      <c r="AI134" s="187">
        <f t="shared" si="65"/>
        <v>2052</v>
      </c>
      <c r="AJ134" s="187">
        <f t="shared" ref="AJ134:AM135" si="66">AI134+1</f>
        <v>2053</v>
      </c>
      <c r="AK134" s="187">
        <f t="shared" si="66"/>
        <v>2054</v>
      </c>
      <c r="AL134" s="187">
        <f t="shared" si="66"/>
        <v>2055</v>
      </c>
      <c r="AM134" s="187">
        <f t="shared" si="66"/>
        <v>2056</v>
      </c>
      <c r="AN134" s="187">
        <f t="shared" ref="AN134:AN135" si="67">AM134+1</f>
        <v>2057</v>
      </c>
      <c r="AO134" s="187">
        <f t="shared" ref="AO134:AO135" si="68">AN134+1</f>
        <v>2058</v>
      </c>
    </row>
    <row r="135" spans="1:41" hidden="1" x14ac:dyDescent="0.2">
      <c r="A135" s="162">
        <v>0</v>
      </c>
      <c r="B135" s="188">
        <v>1</v>
      </c>
      <c r="C135" s="188">
        <f t="shared" si="64"/>
        <v>2</v>
      </c>
      <c r="D135" s="188">
        <f t="shared" si="64"/>
        <v>3</v>
      </c>
      <c r="E135" s="188">
        <f>D135+1</f>
        <v>4</v>
      </c>
      <c r="F135" s="188">
        <f>E135+1</f>
        <v>5</v>
      </c>
      <c r="G135" s="188">
        <f>F135+1</f>
        <v>6</v>
      </c>
      <c r="H135" s="188">
        <f>G135+1</f>
        <v>7</v>
      </c>
      <c r="I135" s="188">
        <f t="shared" si="64"/>
        <v>8</v>
      </c>
      <c r="J135" s="188">
        <f t="shared" si="64"/>
        <v>9</v>
      </c>
      <c r="K135" s="188">
        <f t="shared" si="64"/>
        <v>10</v>
      </c>
      <c r="L135" s="188">
        <f t="shared" si="64"/>
        <v>11</v>
      </c>
      <c r="M135" s="188">
        <f t="shared" si="64"/>
        <v>12</v>
      </c>
      <c r="N135" s="188">
        <f t="shared" si="64"/>
        <v>13</v>
      </c>
      <c r="O135" s="188">
        <f t="shared" si="64"/>
        <v>14</v>
      </c>
      <c r="P135" s="188">
        <f t="shared" si="64"/>
        <v>15</v>
      </c>
      <c r="Q135" s="188">
        <f t="shared" si="64"/>
        <v>16</v>
      </c>
      <c r="R135" s="188">
        <f t="shared" si="64"/>
        <v>17</v>
      </c>
      <c r="S135" s="188">
        <f t="shared" si="64"/>
        <v>18</v>
      </c>
      <c r="T135" s="188">
        <f t="shared" si="65"/>
        <v>19</v>
      </c>
      <c r="U135" s="188">
        <f t="shared" si="65"/>
        <v>20</v>
      </c>
      <c r="V135" s="188">
        <f t="shared" si="65"/>
        <v>21</v>
      </c>
      <c r="W135" s="188">
        <f t="shared" si="65"/>
        <v>22</v>
      </c>
      <c r="X135" s="188">
        <f t="shared" si="65"/>
        <v>23</v>
      </c>
      <c r="Y135" s="188">
        <f t="shared" si="65"/>
        <v>24</v>
      </c>
      <c r="Z135" s="188">
        <f t="shared" si="65"/>
        <v>25</v>
      </c>
      <c r="AA135" s="188">
        <f t="shared" si="65"/>
        <v>26</v>
      </c>
      <c r="AB135" s="188">
        <f t="shared" si="65"/>
        <v>27</v>
      </c>
      <c r="AC135" s="188">
        <f t="shared" si="65"/>
        <v>28</v>
      </c>
      <c r="AD135" s="188">
        <f t="shared" si="65"/>
        <v>29</v>
      </c>
      <c r="AE135" s="188">
        <f t="shared" si="65"/>
        <v>30</v>
      </c>
      <c r="AF135" s="188">
        <f t="shared" si="65"/>
        <v>31</v>
      </c>
      <c r="AG135" s="188">
        <f t="shared" si="65"/>
        <v>32</v>
      </c>
      <c r="AH135" s="188">
        <f t="shared" si="65"/>
        <v>33</v>
      </c>
      <c r="AI135" s="188">
        <f t="shared" si="65"/>
        <v>34</v>
      </c>
      <c r="AJ135" s="188">
        <f t="shared" si="66"/>
        <v>35</v>
      </c>
      <c r="AK135" s="188">
        <f t="shared" si="66"/>
        <v>36</v>
      </c>
      <c r="AL135" s="188">
        <f t="shared" si="66"/>
        <v>37</v>
      </c>
      <c r="AM135" s="188">
        <f t="shared" si="66"/>
        <v>38</v>
      </c>
      <c r="AN135" s="188">
        <f t="shared" si="67"/>
        <v>39</v>
      </c>
      <c r="AO135" s="188">
        <f t="shared" si="68"/>
        <v>40</v>
      </c>
    </row>
    <row r="136" spans="1:41" ht="15" hidden="1" x14ac:dyDescent="0.2">
      <c r="A136" s="162"/>
      <c r="B136" s="189">
        <f>AVERAGE(A135:B135)</f>
        <v>0.5</v>
      </c>
      <c r="C136" s="189">
        <f>AVERAGE(B135:C135)</f>
        <v>1.5</v>
      </c>
      <c r="D136" s="189">
        <f>AVERAGE(C135:D135)</f>
        <v>2.5</v>
      </c>
      <c r="E136" s="189">
        <f>AVERAGE(D135:E135)</f>
        <v>3.5</v>
      </c>
      <c r="F136" s="189">
        <f t="shared" ref="F136:AM136" si="69">AVERAGE(E135:F135)</f>
        <v>4.5</v>
      </c>
      <c r="G136" s="189">
        <f t="shared" si="69"/>
        <v>5.5</v>
      </c>
      <c r="H136" s="189">
        <f t="shared" si="69"/>
        <v>6.5</v>
      </c>
      <c r="I136" s="189">
        <f t="shared" si="69"/>
        <v>7.5</v>
      </c>
      <c r="J136" s="189">
        <f t="shared" si="69"/>
        <v>8.5</v>
      </c>
      <c r="K136" s="189">
        <f t="shared" si="69"/>
        <v>9.5</v>
      </c>
      <c r="L136" s="189">
        <f t="shared" si="69"/>
        <v>10.5</v>
      </c>
      <c r="M136" s="189">
        <f t="shared" si="69"/>
        <v>11.5</v>
      </c>
      <c r="N136" s="189">
        <f t="shared" si="69"/>
        <v>12.5</v>
      </c>
      <c r="O136" s="189">
        <f t="shared" si="69"/>
        <v>13.5</v>
      </c>
      <c r="P136" s="189">
        <f t="shared" si="69"/>
        <v>14.5</v>
      </c>
      <c r="Q136" s="189">
        <f t="shared" si="69"/>
        <v>15.5</v>
      </c>
      <c r="R136" s="189">
        <f t="shared" si="69"/>
        <v>16.5</v>
      </c>
      <c r="S136" s="189">
        <f t="shared" si="69"/>
        <v>17.5</v>
      </c>
      <c r="T136" s="189">
        <f t="shared" si="69"/>
        <v>18.5</v>
      </c>
      <c r="U136" s="189">
        <f t="shared" si="69"/>
        <v>19.5</v>
      </c>
      <c r="V136" s="189">
        <f t="shared" si="69"/>
        <v>20.5</v>
      </c>
      <c r="W136" s="189">
        <f t="shared" si="69"/>
        <v>21.5</v>
      </c>
      <c r="X136" s="189">
        <f t="shared" si="69"/>
        <v>22.5</v>
      </c>
      <c r="Y136" s="189">
        <f t="shared" si="69"/>
        <v>23.5</v>
      </c>
      <c r="Z136" s="189">
        <f t="shared" si="69"/>
        <v>24.5</v>
      </c>
      <c r="AA136" s="189">
        <f t="shared" si="69"/>
        <v>25.5</v>
      </c>
      <c r="AB136" s="189">
        <f t="shared" si="69"/>
        <v>26.5</v>
      </c>
      <c r="AC136" s="189">
        <f t="shared" si="69"/>
        <v>27.5</v>
      </c>
      <c r="AD136" s="189">
        <f t="shared" si="69"/>
        <v>28.5</v>
      </c>
      <c r="AE136" s="189">
        <f t="shared" si="69"/>
        <v>29.5</v>
      </c>
      <c r="AF136" s="189">
        <f t="shared" si="69"/>
        <v>30.5</v>
      </c>
      <c r="AG136" s="189">
        <f t="shared" si="69"/>
        <v>31.5</v>
      </c>
      <c r="AH136" s="189">
        <f t="shared" si="69"/>
        <v>32.5</v>
      </c>
      <c r="AI136" s="189">
        <f t="shared" si="69"/>
        <v>33.5</v>
      </c>
      <c r="AJ136" s="189">
        <f t="shared" si="69"/>
        <v>34.5</v>
      </c>
      <c r="AK136" s="189">
        <f t="shared" si="69"/>
        <v>35.5</v>
      </c>
      <c r="AL136" s="189">
        <f t="shared" si="69"/>
        <v>36.5</v>
      </c>
      <c r="AM136" s="189">
        <f t="shared" si="69"/>
        <v>37.5</v>
      </c>
      <c r="AN136" s="189">
        <f>AVERAGE(AM135:AN135)</f>
        <v>38.5</v>
      </c>
      <c r="AO136" s="189">
        <f>AVERAGE(AN135:AO135)</f>
        <v>39.5</v>
      </c>
    </row>
    <row r="137" spans="1:41" ht="12.75" hidden="1" x14ac:dyDescent="0.2">
      <c r="A137" s="162"/>
      <c r="B137" s="82"/>
      <c r="C137" s="82"/>
      <c r="D137" s="82"/>
      <c r="E137" s="82"/>
      <c r="F137" s="82"/>
      <c r="G137" s="82"/>
      <c r="H137" s="82"/>
      <c r="I137" s="82"/>
      <c r="J137" s="82"/>
      <c r="K137" s="82"/>
      <c r="L137" s="82"/>
      <c r="M137" s="82"/>
      <c r="N137" s="82"/>
      <c r="O137" s="82"/>
      <c r="P137" s="82"/>
      <c r="Q137" s="82"/>
      <c r="R137" s="82"/>
      <c r="S137" s="82"/>
      <c r="T137" s="82"/>
      <c r="U137" s="82"/>
      <c r="V137" s="82"/>
      <c r="W137" s="82"/>
      <c r="X137" s="82"/>
      <c r="Y137" s="82"/>
      <c r="Z137" s="82"/>
      <c r="AA137" s="82"/>
      <c r="AB137" s="82"/>
      <c r="AC137" s="82"/>
      <c r="AD137" s="82"/>
      <c r="AE137" s="82"/>
      <c r="AF137" s="82"/>
      <c r="AG137" s="82"/>
      <c r="AH137" s="82"/>
      <c r="AI137" s="82"/>
      <c r="AJ137" s="82"/>
      <c r="AK137" s="82"/>
      <c r="AL137" s="82"/>
      <c r="AM137" s="82"/>
    </row>
    <row r="138" spans="1:41" ht="12.75" hidden="1" x14ac:dyDescent="0.2">
      <c r="A138" s="162"/>
      <c r="B138" s="82"/>
      <c r="C138" s="82"/>
      <c r="D138" s="82"/>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row>
    <row r="139" spans="1:41" ht="12.75" hidden="1" x14ac:dyDescent="0.2">
      <c r="A139" s="162"/>
      <c r="B139" s="82"/>
      <c r="C139" s="82"/>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82"/>
      <c r="AL139" s="82"/>
      <c r="AM139" s="82"/>
    </row>
    <row r="140" spans="1:41" ht="12.75" hidden="1" x14ac:dyDescent="0.2">
      <c r="A140" s="162"/>
      <c r="B140" s="82"/>
      <c r="C140" s="82"/>
      <c r="D140" s="82"/>
      <c r="E140" s="82"/>
      <c r="F140" s="82"/>
      <c r="G140" s="82"/>
      <c r="H140" s="82"/>
      <c r="I140" s="82"/>
      <c r="J140" s="82"/>
      <c r="K140" s="82"/>
      <c r="L140" s="82"/>
      <c r="M140" s="82"/>
      <c r="N140" s="82"/>
      <c r="O140" s="82"/>
      <c r="P140" s="82"/>
      <c r="Q140" s="82"/>
      <c r="R140" s="82"/>
      <c r="S140" s="82"/>
      <c r="T140" s="82"/>
      <c r="U140" s="82"/>
      <c r="V140" s="82"/>
      <c r="W140" s="82"/>
      <c r="X140" s="82"/>
      <c r="Y140" s="82"/>
      <c r="Z140" s="82"/>
      <c r="AA140" s="82"/>
      <c r="AB140" s="82"/>
      <c r="AC140" s="82"/>
      <c r="AD140" s="82"/>
      <c r="AE140" s="82"/>
      <c r="AF140" s="82"/>
      <c r="AG140" s="82"/>
      <c r="AH140" s="82"/>
      <c r="AI140" s="82"/>
      <c r="AJ140" s="82"/>
      <c r="AK140" s="82"/>
      <c r="AL140" s="82"/>
      <c r="AM140" s="82"/>
    </row>
    <row r="141" spans="1:41" ht="12.75" hidden="1" x14ac:dyDescent="0.2">
      <c r="A141" s="162"/>
      <c r="B141" s="82"/>
      <c r="C141" s="82"/>
      <c r="D141" s="82"/>
      <c r="E141" s="82"/>
      <c r="F141" s="82"/>
      <c r="G141" s="82"/>
      <c r="H141" s="82"/>
      <c r="I141" s="82"/>
      <c r="J141" s="82"/>
      <c r="K141" s="82"/>
      <c r="L141" s="82"/>
      <c r="M141" s="82"/>
      <c r="N141" s="82"/>
      <c r="O141" s="82"/>
      <c r="P141" s="82"/>
      <c r="Q141" s="82"/>
      <c r="R141" s="82"/>
      <c r="S141" s="82"/>
      <c r="T141" s="82"/>
      <c r="U141" s="82"/>
      <c r="V141" s="82"/>
      <c r="W141" s="82"/>
      <c r="X141" s="82"/>
      <c r="Y141" s="82"/>
      <c r="Z141" s="82"/>
      <c r="AA141" s="82"/>
      <c r="AB141" s="82"/>
      <c r="AC141" s="82"/>
      <c r="AD141" s="82"/>
      <c r="AE141" s="82"/>
      <c r="AF141" s="82"/>
      <c r="AG141" s="82"/>
      <c r="AH141" s="82"/>
      <c r="AI141" s="82"/>
      <c r="AJ141" s="82"/>
      <c r="AK141" s="82"/>
      <c r="AL141" s="82"/>
      <c r="AM141" s="82"/>
    </row>
    <row r="142" spans="1:41" ht="12.75" hidden="1" x14ac:dyDescent="0.2">
      <c r="A142" s="162"/>
      <c r="B142" s="82"/>
      <c r="C142" s="82"/>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row>
    <row r="143" spans="1:41" ht="12.75" hidden="1" x14ac:dyDescent="0.2">
      <c r="A143" s="162"/>
      <c r="B143" s="82"/>
      <c r="C143" s="82"/>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row>
    <row r="144" spans="1:41" ht="12.75" hidden="1" x14ac:dyDescent="0.2">
      <c r="A144" s="162"/>
      <c r="B144" s="82"/>
      <c r="C144" s="82"/>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row>
    <row r="145" spans="1:57" ht="12.75" hidden="1" x14ac:dyDescent="0.2">
      <c r="A145" s="162"/>
      <c r="B145" s="82"/>
      <c r="C145" s="82"/>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row>
    <row r="146" spans="1:57" ht="12.75" hidden="1" x14ac:dyDescent="0.2">
      <c r="A146" s="162"/>
      <c r="B146" s="82"/>
      <c r="C146" s="82"/>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row>
    <row r="147" spans="1:57" ht="12.75" hidden="1" x14ac:dyDescent="0.2">
      <c r="A147" s="162"/>
      <c r="B147" s="82"/>
      <c r="C147" s="82"/>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row>
    <row r="148" spans="1:57" ht="12.75" hidden="1" x14ac:dyDescent="0.2">
      <c r="A148" s="162"/>
      <c r="B148" s="82"/>
      <c r="C148" s="82"/>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row>
    <row r="149" spans="1:57" ht="12.75" hidden="1" x14ac:dyDescent="0.2">
      <c r="A149" s="162"/>
      <c r="B149" s="82"/>
      <c r="C149" s="82"/>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row>
    <row r="150" spans="1:57" ht="12.75" hidden="1" x14ac:dyDescent="0.2">
      <c r="A150" s="162"/>
      <c r="B150" s="82"/>
      <c r="C150" s="82"/>
      <c r="D150" s="82"/>
      <c r="E150" s="82"/>
      <c r="F150" s="82"/>
      <c r="G150" s="82"/>
      <c r="H150" s="82"/>
      <c r="I150" s="82"/>
      <c r="J150" s="82"/>
      <c r="K150" s="82"/>
      <c r="L150" s="82"/>
      <c r="M150" s="82"/>
      <c r="N150" s="82"/>
      <c r="O150" s="82"/>
      <c r="P150" s="82"/>
      <c r="Q150" s="82"/>
      <c r="R150" s="82"/>
      <c r="S150" s="82"/>
      <c r="T150" s="82"/>
      <c r="U150" s="82"/>
      <c r="V150" s="82"/>
      <c r="W150" s="82"/>
      <c r="X150" s="82"/>
      <c r="Y150" s="82"/>
      <c r="Z150" s="82"/>
      <c r="AA150" s="82"/>
      <c r="AB150" s="82"/>
      <c r="AC150" s="82"/>
      <c r="AD150" s="82"/>
      <c r="AE150" s="82"/>
      <c r="AF150" s="82"/>
      <c r="AG150" s="82"/>
      <c r="AH150" s="82"/>
      <c r="AI150" s="82"/>
      <c r="AJ150" s="82"/>
      <c r="AK150" s="82"/>
      <c r="AL150" s="82"/>
      <c r="AM150" s="82"/>
    </row>
    <row r="151" spans="1:57" ht="12.75" hidden="1" x14ac:dyDescent="0.2">
      <c r="A151" s="144"/>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c r="AA151" s="145"/>
      <c r="AB151" s="145"/>
      <c r="AC151" s="145"/>
      <c r="AD151" s="145"/>
      <c r="AE151" s="145"/>
      <c r="AF151" s="145"/>
      <c r="AG151" s="145"/>
      <c r="AH151" s="145"/>
      <c r="AI151" s="145"/>
      <c r="AJ151" s="145"/>
      <c r="AK151" s="145"/>
      <c r="AL151" s="145"/>
      <c r="AM151" s="145"/>
      <c r="AN151" s="145"/>
      <c r="AO151" s="145"/>
      <c r="AP151" s="145"/>
      <c r="AQ151" s="145"/>
      <c r="AR151" s="145"/>
      <c r="AS151" s="145"/>
      <c r="AT151" s="145"/>
      <c r="AU151" s="145"/>
      <c r="AV151" s="145"/>
      <c r="AW151" s="145"/>
      <c r="AX151" s="145"/>
      <c r="AY151" s="145"/>
      <c r="AZ151" s="145"/>
      <c r="BA151" s="145"/>
      <c r="BB151" s="145"/>
      <c r="BC151" s="145"/>
      <c r="BD151" s="145"/>
      <c r="BE151" s="145"/>
    </row>
    <row r="152" spans="1:57" ht="12.75" hidden="1" x14ac:dyDescent="0.2">
      <c r="A152" s="144"/>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c r="AA152" s="145"/>
      <c r="AB152" s="145"/>
      <c r="AC152" s="145"/>
      <c r="AD152" s="145"/>
      <c r="AE152" s="145"/>
      <c r="AF152" s="145"/>
      <c r="AG152" s="145"/>
      <c r="AH152" s="145"/>
      <c r="AI152" s="145"/>
      <c r="AJ152" s="145"/>
      <c r="AK152" s="145"/>
      <c r="AL152" s="145"/>
      <c r="AM152" s="145"/>
      <c r="AN152" s="145"/>
      <c r="AO152" s="145"/>
      <c r="AP152" s="145"/>
      <c r="AQ152" s="145"/>
      <c r="AR152" s="145"/>
      <c r="AS152" s="145"/>
      <c r="AT152" s="145"/>
      <c r="AU152" s="145"/>
      <c r="AV152" s="145"/>
      <c r="AW152" s="145"/>
      <c r="AX152" s="145"/>
      <c r="AY152" s="145"/>
      <c r="AZ152" s="145"/>
      <c r="BA152" s="145"/>
      <c r="BB152" s="145"/>
      <c r="BC152" s="145"/>
      <c r="BD152" s="145"/>
      <c r="BE152" s="145"/>
    </row>
    <row r="153" spans="1:57" ht="12.75" hidden="1" x14ac:dyDescent="0.2">
      <c r="A153" s="144"/>
      <c r="B153" s="145"/>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c r="AA153" s="145"/>
      <c r="AB153" s="145"/>
      <c r="AC153" s="145"/>
      <c r="AD153" s="145"/>
      <c r="AE153" s="145"/>
      <c r="AF153" s="145"/>
      <c r="AG153" s="145"/>
      <c r="AH153" s="145"/>
      <c r="AI153" s="145"/>
      <c r="AJ153" s="145"/>
      <c r="AK153" s="145"/>
      <c r="AL153" s="145"/>
      <c r="AM153" s="145"/>
      <c r="AN153" s="145"/>
      <c r="AO153" s="145"/>
      <c r="AP153" s="145"/>
      <c r="AQ153" s="145"/>
      <c r="AR153" s="145"/>
      <c r="AS153" s="145"/>
      <c r="AT153" s="145"/>
      <c r="AU153" s="145"/>
      <c r="AV153" s="145"/>
      <c r="AW153" s="145"/>
      <c r="AX153" s="145"/>
      <c r="AY153" s="145"/>
      <c r="AZ153" s="145"/>
      <c r="BA153" s="145"/>
      <c r="BB153" s="145"/>
      <c r="BC153" s="145"/>
      <c r="BD153" s="145"/>
      <c r="BE153" s="145"/>
    </row>
    <row r="154" spans="1:57" ht="12.75" hidden="1" x14ac:dyDescent="0.2">
      <c r="A154" s="144"/>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c r="AA154" s="145"/>
      <c r="AB154" s="145"/>
      <c r="AC154" s="145"/>
      <c r="AD154" s="145"/>
      <c r="AE154" s="145"/>
      <c r="AF154" s="145"/>
      <c r="AG154" s="145"/>
      <c r="AH154" s="145"/>
      <c r="AI154" s="145"/>
      <c r="AJ154" s="145"/>
      <c r="AK154" s="145"/>
      <c r="AL154" s="145"/>
      <c r="AM154" s="145"/>
      <c r="AN154" s="145"/>
      <c r="AO154" s="145"/>
      <c r="AP154" s="145"/>
      <c r="AQ154" s="145"/>
      <c r="AR154" s="145"/>
      <c r="AS154" s="145"/>
      <c r="AT154" s="145"/>
      <c r="AU154" s="145"/>
      <c r="AV154" s="145"/>
      <c r="AW154" s="145"/>
      <c r="AX154" s="145"/>
      <c r="AY154" s="145"/>
      <c r="AZ154" s="145"/>
      <c r="BA154" s="145"/>
      <c r="BB154" s="145"/>
      <c r="BC154" s="145"/>
      <c r="BD154" s="145"/>
      <c r="BE154" s="145"/>
    </row>
    <row r="155" spans="1:57" ht="12.75" hidden="1" x14ac:dyDescent="0.2">
      <c r="A155" s="144"/>
      <c r="B155" s="145"/>
      <c r="C155" s="145"/>
      <c r="D155" s="145"/>
      <c r="E155" s="145"/>
      <c r="F155" s="145"/>
      <c r="G155" s="145"/>
      <c r="H155" s="145"/>
      <c r="I155" s="145"/>
      <c r="J155" s="145"/>
      <c r="K155" s="145"/>
      <c r="L155" s="145"/>
      <c r="M155" s="145"/>
      <c r="N155" s="145"/>
      <c r="O155" s="145"/>
      <c r="P155" s="145"/>
      <c r="Q155" s="145"/>
      <c r="R155" s="145"/>
      <c r="S155" s="145"/>
      <c r="T155" s="145"/>
      <c r="U155" s="145"/>
      <c r="V155" s="145"/>
      <c r="W155" s="145"/>
      <c r="X155" s="145"/>
      <c r="Y155" s="145"/>
      <c r="Z155" s="145"/>
      <c r="AA155" s="145"/>
      <c r="AB155" s="145"/>
      <c r="AC155" s="145"/>
      <c r="AD155" s="145"/>
      <c r="AE155" s="145"/>
      <c r="AF155" s="145"/>
      <c r="AG155" s="145"/>
      <c r="AH155" s="145"/>
      <c r="AI155" s="145"/>
      <c r="AJ155" s="145"/>
      <c r="AK155" s="145"/>
      <c r="AL155" s="145"/>
      <c r="AM155" s="145"/>
      <c r="AN155" s="145"/>
      <c r="AO155" s="145"/>
      <c r="AP155" s="145"/>
      <c r="AQ155" s="145"/>
      <c r="AR155" s="145"/>
      <c r="AS155" s="145"/>
      <c r="AT155" s="145"/>
      <c r="AU155" s="145"/>
      <c r="AV155" s="145"/>
      <c r="AW155" s="145"/>
      <c r="AX155" s="145"/>
      <c r="AY155" s="145"/>
      <c r="AZ155" s="145"/>
      <c r="BA155" s="145"/>
      <c r="BB155" s="145"/>
      <c r="BC155" s="145"/>
      <c r="BD155" s="145"/>
      <c r="BE155" s="145"/>
    </row>
    <row r="156" spans="1:57" ht="12.75" hidden="1" x14ac:dyDescent="0.2">
      <c r="A156" s="144"/>
      <c r="B156" s="145"/>
      <c r="C156" s="145"/>
      <c r="D156" s="145"/>
      <c r="E156" s="145"/>
      <c r="F156" s="145"/>
      <c r="G156" s="145"/>
      <c r="H156" s="145"/>
      <c r="I156" s="145"/>
      <c r="J156" s="145"/>
      <c r="K156" s="145"/>
      <c r="L156" s="145"/>
      <c r="M156" s="145"/>
      <c r="N156" s="145"/>
      <c r="O156" s="145"/>
      <c r="P156" s="145"/>
      <c r="Q156" s="145"/>
      <c r="R156" s="145"/>
      <c r="S156" s="145"/>
      <c r="T156" s="145"/>
      <c r="U156" s="145"/>
      <c r="V156" s="145"/>
      <c r="W156" s="145"/>
      <c r="X156" s="145"/>
      <c r="Y156" s="145"/>
      <c r="Z156" s="145"/>
      <c r="AA156" s="145"/>
      <c r="AB156" s="145"/>
      <c r="AC156" s="145"/>
      <c r="AD156" s="145"/>
      <c r="AE156" s="145"/>
      <c r="AF156" s="145"/>
      <c r="AG156" s="145"/>
      <c r="AH156" s="145"/>
      <c r="AI156" s="145"/>
      <c r="AJ156" s="145"/>
      <c r="AK156" s="145"/>
      <c r="AL156" s="145"/>
      <c r="AM156" s="145"/>
      <c r="AN156" s="145"/>
      <c r="AO156" s="145"/>
      <c r="AP156" s="145"/>
      <c r="AQ156" s="145"/>
      <c r="AR156" s="145"/>
      <c r="AS156" s="145"/>
      <c r="AT156" s="145"/>
      <c r="AU156" s="145"/>
      <c r="AV156" s="145"/>
      <c r="AW156" s="145"/>
      <c r="AX156" s="145"/>
      <c r="AY156" s="145"/>
      <c r="AZ156" s="145"/>
      <c r="BA156" s="145"/>
      <c r="BB156" s="145"/>
      <c r="BC156" s="145"/>
      <c r="BD156" s="145"/>
      <c r="BE156" s="145"/>
    </row>
    <row r="157" spans="1:57" ht="12.75" hidden="1" x14ac:dyDescent="0.2">
      <c r="A157" s="144"/>
      <c r="B157" s="145"/>
      <c r="C157" s="145"/>
      <c r="D157" s="145"/>
      <c r="E157" s="145"/>
      <c r="F157" s="145"/>
      <c r="G157" s="145"/>
      <c r="H157" s="145"/>
      <c r="I157" s="145"/>
      <c r="J157" s="145"/>
      <c r="K157" s="145"/>
      <c r="L157" s="145"/>
      <c r="M157" s="145"/>
      <c r="N157" s="145"/>
      <c r="O157" s="145"/>
      <c r="P157" s="145"/>
      <c r="Q157" s="145"/>
      <c r="R157" s="145"/>
      <c r="S157" s="145"/>
      <c r="T157" s="145"/>
      <c r="U157" s="145"/>
      <c r="V157" s="145"/>
      <c r="W157" s="145"/>
      <c r="X157" s="145"/>
      <c r="Y157" s="145"/>
      <c r="Z157" s="145"/>
      <c r="AA157" s="145"/>
      <c r="AB157" s="145"/>
      <c r="AC157" s="145"/>
      <c r="AD157" s="145"/>
      <c r="AE157" s="145"/>
      <c r="AF157" s="145"/>
      <c r="AG157" s="145"/>
      <c r="AH157" s="145"/>
      <c r="AI157" s="145"/>
      <c r="AJ157" s="145"/>
      <c r="AK157" s="145"/>
      <c r="AL157" s="145"/>
      <c r="AM157" s="145"/>
      <c r="AN157" s="145"/>
      <c r="AO157" s="145"/>
      <c r="AP157" s="145"/>
      <c r="AQ157" s="145"/>
      <c r="AR157" s="145"/>
      <c r="AS157" s="145"/>
      <c r="AT157" s="145"/>
      <c r="AU157" s="145"/>
      <c r="AV157" s="145"/>
      <c r="AW157" s="145"/>
      <c r="AX157" s="145"/>
      <c r="AY157" s="145"/>
      <c r="AZ157" s="145"/>
      <c r="BA157" s="145"/>
      <c r="BB157" s="145"/>
      <c r="BC157" s="145"/>
      <c r="BD157" s="145"/>
      <c r="BE157" s="145"/>
    </row>
    <row r="158" spans="1:57" ht="12.75" hidden="1" x14ac:dyDescent="0.2">
      <c r="A158" s="144"/>
      <c r="B158" s="145"/>
      <c r="C158" s="145"/>
      <c r="D158" s="145"/>
      <c r="E158" s="145"/>
      <c r="F158" s="145"/>
      <c r="G158" s="145"/>
      <c r="H158" s="145"/>
      <c r="I158" s="145"/>
      <c r="J158" s="145"/>
      <c r="K158" s="145"/>
      <c r="L158" s="145"/>
      <c r="M158" s="145"/>
      <c r="N158" s="145"/>
      <c r="O158" s="145"/>
      <c r="P158" s="145"/>
      <c r="Q158" s="145"/>
      <c r="R158" s="145"/>
      <c r="S158" s="145"/>
      <c r="T158" s="145"/>
      <c r="U158" s="145"/>
      <c r="V158" s="145"/>
      <c r="W158" s="145"/>
      <c r="X158" s="145"/>
      <c r="Y158" s="145"/>
      <c r="Z158" s="145"/>
      <c r="AA158" s="145"/>
      <c r="AB158" s="145"/>
      <c r="AC158" s="145"/>
      <c r="AD158" s="145"/>
      <c r="AE158" s="145"/>
      <c r="AF158" s="145"/>
      <c r="AG158" s="145"/>
      <c r="AH158" s="145"/>
      <c r="AI158" s="145"/>
      <c r="AJ158" s="145"/>
      <c r="AK158" s="145"/>
      <c r="AL158" s="145"/>
      <c r="AM158" s="145"/>
      <c r="AN158" s="145"/>
      <c r="AO158" s="145"/>
      <c r="AP158" s="145"/>
      <c r="AQ158" s="145"/>
      <c r="AR158" s="145"/>
      <c r="AS158" s="145"/>
      <c r="AT158" s="145"/>
      <c r="AU158" s="145"/>
      <c r="AV158" s="145"/>
      <c r="AW158" s="145"/>
      <c r="AX158" s="145"/>
      <c r="AY158" s="145"/>
      <c r="AZ158" s="145"/>
      <c r="BA158" s="145"/>
      <c r="BB158" s="145"/>
      <c r="BC158" s="145"/>
      <c r="BD158" s="145"/>
      <c r="BE158" s="145"/>
    </row>
    <row r="159" spans="1:57" ht="12.75" hidden="1" x14ac:dyDescent="0.2">
      <c r="A159" s="144"/>
      <c r="B159" s="145"/>
      <c r="C159" s="145"/>
      <c r="D159" s="145"/>
      <c r="E159" s="145"/>
      <c r="F159" s="145"/>
      <c r="G159" s="145"/>
      <c r="H159" s="145"/>
      <c r="I159" s="145"/>
      <c r="J159" s="145"/>
      <c r="K159" s="145"/>
      <c r="L159" s="145"/>
      <c r="M159" s="145"/>
      <c r="N159" s="145"/>
      <c r="O159" s="145"/>
      <c r="P159" s="145"/>
      <c r="Q159" s="145"/>
      <c r="R159" s="145"/>
      <c r="S159" s="145"/>
      <c r="T159" s="145"/>
      <c r="U159" s="145"/>
      <c r="V159" s="145"/>
      <c r="W159" s="145"/>
      <c r="X159" s="145"/>
      <c r="Y159" s="145"/>
      <c r="Z159" s="145"/>
      <c r="AA159" s="145"/>
      <c r="AB159" s="145"/>
      <c r="AC159" s="145"/>
      <c r="AD159" s="145"/>
      <c r="AE159" s="145"/>
      <c r="AF159" s="145"/>
      <c r="AG159" s="145"/>
      <c r="AH159" s="145"/>
      <c r="AI159" s="145"/>
      <c r="AJ159" s="145"/>
      <c r="AK159" s="145"/>
      <c r="AL159" s="145"/>
      <c r="AM159" s="145"/>
      <c r="AN159" s="145"/>
      <c r="AO159" s="145"/>
      <c r="AP159" s="145"/>
      <c r="AQ159" s="145"/>
      <c r="AR159" s="145"/>
      <c r="AS159" s="145"/>
      <c r="AT159" s="145"/>
      <c r="AU159" s="145"/>
      <c r="AV159" s="145"/>
      <c r="AW159" s="145"/>
      <c r="AX159" s="145"/>
      <c r="AY159" s="145"/>
      <c r="AZ159" s="145"/>
      <c r="BA159" s="145"/>
      <c r="BB159" s="145"/>
      <c r="BC159" s="145"/>
      <c r="BD159" s="145"/>
      <c r="BE159" s="145"/>
    </row>
    <row r="160" spans="1:57" ht="12.75" hidden="1" x14ac:dyDescent="0.2">
      <c r="A160" s="144"/>
      <c r="B160" s="145"/>
      <c r="C160" s="145"/>
      <c r="D160" s="145"/>
      <c r="E160" s="145"/>
      <c r="F160" s="145"/>
      <c r="G160" s="145"/>
      <c r="H160" s="145"/>
      <c r="I160" s="145"/>
      <c r="J160" s="145"/>
      <c r="K160" s="145"/>
      <c r="L160" s="145"/>
      <c r="M160" s="145"/>
      <c r="N160" s="145"/>
      <c r="O160" s="145"/>
      <c r="P160" s="145"/>
      <c r="Q160" s="145"/>
      <c r="R160" s="145"/>
      <c r="S160" s="145"/>
      <c r="T160" s="145"/>
      <c r="U160" s="145"/>
      <c r="V160" s="145"/>
      <c r="W160" s="145"/>
      <c r="X160" s="145"/>
      <c r="Y160" s="145"/>
      <c r="Z160" s="145"/>
      <c r="AA160" s="145"/>
      <c r="AB160" s="145"/>
      <c r="AC160" s="145"/>
      <c r="AD160" s="145"/>
      <c r="AE160" s="145"/>
      <c r="AF160" s="145"/>
      <c r="AG160" s="145"/>
      <c r="AH160" s="145"/>
      <c r="AI160" s="145"/>
      <c r="AJ160" s="145"/>
      <c r="AK160" s="145"/>
      <c r="AL160" s="145"/>
      <c r="AM160" s="145"/>
      <c r="AN160" s="145"/>
      <c r="AO160" s="145"/>
      <c r="AP160" s="145"/>
      <c r="AQ160" s="145"/>
      <c r="AR160" s="145"/>
      <c r="AS160" s="145"/>
      <c r="AT160" s="145"/>
      <c r="AU160" s="145"/>
      <c r="AV160" s="145"/>
      <c r="AW160" s="145"/>
      <c r="AX160" s="145"/>
      <c r="AY160" s="145"/>
      <c r="AZ160" s="145"/>
      <c r="BA160" s="145"/>
      <c r="BB160" s="145"/>
      <c r="BC160" s="145"/>
      <c r="BD160" s="145"/>
      <c r="BE160" s="145"/>
    </row>
    <row r="161" spans="1:57" ht="12.75" hidden="1" x14ac:dyDescent="0.2">
      <c r="A161" s="144"/>
      <c r="B161" s="145"/>
      <c r="C161" s="145"/>
      <c r="D161" s="145"/>
      <c r="E161" s="145"/>
      <c r="F161" s="145"/>
      <c r="G161" s="145"/>
      <c r="H161" s="145"/>
      <c r="I161" s="145"/>
      <c r="J161" s="145"/>
      <c r="K161" s="145"/>
      <c r="L161" s="145"/>
      <c r="M161" s="145"/>
      <c r="N161" s="145"/>
      <c r="O161" s="145"/>
      <c r="P161" s="145"/>
      <c r="Q161" s="145"/>
      <c r="R161" s="145"/>
      <c r="S161" s="145"/>
      <c r="T161" s="145"/>
      <c r="U161" s="145"/>
      <c r="V161" s="145"/>
      <c r="W161" s="145"/>
      <c r="X161" s="145"/>
      <c r="Y161" s="145"/>
      <c r="Z161" s="145"/>
      <c r="AA161" s="145"/>
      <c r="AB161" s="145"/>
      <c r="AC161" s="145"/>
      <c r="AD161" s="145"/>
      <c r="AE161" s="145"/>
      <c r="AF161" s="145"/>
      <c r="AG161" s="145"/>
      <c r="AH161" s="145"/>
      <c r="AI161" s="145"/>
      <c r="AJ161" s="145"/>
      <c r="AK161" s="145"/>
      <c r="AL161" s="145"/>
      <c r="AM161" s="145"/>
      <c r="AN161" s="145"/>
      <c r="AO161" s="145"/>
      <c r="AP161" s="145"/>
      <c r="AQ161" s="145"/>
      <c r="AR161" s="145"/>
      <c r="AS161" s="145"/>
      <c r="AT161" s="145"/>
      <c r="AU161" s="145"/>
      <c r="AV161" s="145"/>
      <c r="AW161" s="145"/>
      <c r="AX161" s="145"/>
      <c r="AY161" s="145"/>
      <c r="AZ161" s="145"/>
      <c r="BA161" s="145"/>
      <c r="BB161" s="145"/>
      <c r="BC161" s="145"/>
      <c r="BD161" s="145"/>
      <c r="BE161" s="145"/>
    </row>
    <row r="162" spans="1:57" ht="12.75" hidden="1" x14ac:dyDescent="0.2">
      <c r="A162" s="144"/>
      <c r="B162" s="145"/>
      <c r="C162" s="145"/>
      <c r="D162" s="145"/>
      <c r="E162" s="145"/>
      <c r="F162" s="145"/>
      <c r="G162" s="145"/>
      <c r="H162" s="145"/>
      <c r="I162" s="145"/>
      <c r="J162" s="145"/>
      <c r="K162" s="145"/>
      <c r="L162" s="145"/>
      <c r="M162" s="145"/>
      <c r="N162" s="145"/>
      <c r="O162" s="145"/>
      <c r="P162" s="145"/>
      <c r="Q162" s="145"/>
      <c r="R162" s="145"/>
      <c r="S162" s="145"/>
      <c r="T162" s="145"/>
      <c r="U162" s="145"/>
      <c r="V162" s="145"/>
      <c r="W162" s="145"/>
      <c r="X162" s="145"/>
      <c r="Y162" s="145"/>
      <c r="Z162" s="145"/>
      <c r="AA162" s="145"/>
      <c r="AB162" s="145"/>
      <c r="AC162" s="145"/>
      <c r="AD162" s="145"/>
      <c r="AE162" s="145"/>
      <c r="AF162" s="145"/>
      <c r="AG162" s="145"/>
      <c r="AH162" s="145"/>
      <c r="AI162" s="145"/>
      <c r="AJ162" s="145"/>
      <c r="AK162" s="145"/>
      <c r="AL162" s="145"/>
      <c r="AM162" s="145"/>
      <c r="AN162" s="145"/>
      <c r="AO162" s="145"/>
      <c r="AP162" s="145"/>
      <c r="AQ162" s="145"/>
      <c r="AR162" s="145"/>
      <c r="AS162" s="145"/>
      <c r="AT162" s="145"/>
      <c r="AU162" s="145"/>
      <c r="AV162" s="145"/>
      <c r="AW162" s="145"/>
      <c r="AX162" s="145"/>
      <c r="AY162" s="145"/>
      <c r="AZ162" s="145"/>
      <c r="BA162" s="145"/>
      <c r="BB162" s="145"/>
      <c r="BC162" s="145"/>
      <c r="BD162" s="145"/>
      <c r="BE162" s="145"/>
    </row>
    <row r="163" spans="1:57" ht="12.75" hidden="1" x14ac:dyDescent="0.2">
      <c r="A163" s="144"/>
      <c r="B163" s="145"/>
      <c r="C163" s="145"/>
      <c r="D163" s="145"/>
      <c r="E163" s="145"/>
      <c r="F163" s="145"/>
      <c r="G163" s="145"/>
      <c r="H163" s="145"/>
      <c r="I163" s="145"/>
      <c r="J163" s="145"/>
      <c r="K163" s="145"/>
      <c r="L163" s="145"/>
      <c r="M163" s="145"/>
      <c r="N163" s="145"/>
      <c r="O163" s="145"/>
      <c r="P163" s="145"/>
      <c r="Q163" s="145"/>
      <c r="R163" s="145"/>
      <c r="S163" s="145"/>
      <c r="T163" s="145"/>
      <c r="U163" s="145"/>
      <c r="V163" s="145"/>
      <c r="W163" s="145"/>
      <c r="X163" s="145"/>
      <c r="Y163" s="145"/>
      <c r="Z163" s="145"/>
      <c r="AA163" s="145"/>
      <c r="AB163" s="145"/>
      <c r="AC163" s="145"/>
      <c r="AD163" s="145"/>
      <c r="AE163" s="145"/>
      <c r="AF163" s="145"/>
      <c r="AG163" s="145"/>
      <c r="AH163" s="145"/>
      <c r="AI163" s="145"/>
      <c r="AJ163" s="145"/>
      <c r="AK163" s="145"/>
      <c r="AL163" s="145"/>
      <c r="AM163" s="145"/>
      <c r="AN163" s="145"/>
      <c r="AO163" s="145"/>
      <c r="AP163" s="145"/>
      <c r="AQ163" s="145"/>
      <c r="AR163" s="145"/>
      <c r="AS163" s="145"/>
      <c r="AT163" s="145"/>
      <c r="AU163" s="145"/>
      <c r="AV163" s="145"/>
      <c r="AW163" s="145"/>
      <c r="AX163" s="145"/>
      <c r="AY163" s="145"/>
      <c r="AZ163" s="145"/>
      <c r="BA163" s="145"/>
      <c r="BB163" s="145"/>
      <c r="BC163" s="145"/>
      <c r="BD163" s="145"/>
      <c r="BE163" s="145"/>
    </row>
    <row r="164" spans="1:57" ht="12.75" hidden="1" x14ac:dyDescent="0.2">
      <c r="A164" s="144"/>
      <c r="B164" s="145"/>
      <c r="C164" s="145"/>
      <c r="D164" s="145"/>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c r="AA164" s="145"/>
      <c r="AB164" s="145"/>
      <c r="AC164" s="145"/>
      <c r="AD164" s="145"/>
      <c r="AE164" s="145"/>
      <c r="AF164" s="145"/>
      <c r="AG164" s="145"/>
      <c r="AH164" s="145"/>
      <c r="AI164" s="145"/>
      <c r="AJ164" s="145"/>
      <c r="AK164" s="145"/>
      <c r="AL164" s="145"/>
      <c r="AM164" s="145"/>
      <c r="AN164" s="145"/>
      <c r="AO164" s="145"/>
      <c r="AP164" s="145"/>
      <c r="AQ164" s="145"/>
      <c r="AR164" s="145"/>
      <c r="AS164" s="145"/>
      <c r="AT164" s="145"/>
      <c r="AU164" s="145"/>
      <c r="AV164" s="145"/>
      <c r="AW164" s="145"/>
      <c r="AX164" s="145"/>
      <c r="AY164" s="145"/>
      <c r="AZ164" s="145"/>
      <c r="BA164" s="145"/>
      <c r="BB164" s="145"/>
      <c r="BC164" s="145"/>
      <c r="BD164" s="145"/>
      <c r="BE164" s="145"/>
    </row>
    <row r="165" spans="1:57" ht="12.75" hidden="1" x14ac:dyDescent="0.2">
      <c r="A165" s="144"/>
      <c r="B165" s="145"/>
      <c r="C165" s="145"/>
      <c r="D165" s="145"/>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c r="AA165" s="145"/>
      <c r="AB165" s="145"/>
      <c r="AC165" s="145"/>
      <c r="AD165" s="145"/>
      <c r="AE165" s="145"/>
      <c r="AF165" s="145"/>
      <c r="AG165" s="145"/>
      <c r="AH165" s="145"/>
      <c r="AI165" s="145"/>
      <c r="AJ165" s="145"/>
      <c r="AK165" s="145"/>
      <c r="AL165" s="145"/>
      <c r="AM165" s="145"/>
      <c r="AN165" s="145"/>
      <c r="AO165" s="145"/>
      <c r="AP165" s="145"/>
      <c r="AQ165" s="145"/>
      <c r="AR165" s="145"/>
      <c r="AS165" s="145"/>
      <c r="AT165" s="145"/>
      <c r="AU165" s="145"/>
      <c r="AV165" s="145"/>
      <c r="AW165" s="145"/>
      <c r="AX165" s="145"/>
      <c r="AY165" s="145"/>
      <c r="AZ165" s="145"/>
      <c r="BA165" s="145"/>
      <c r="BB165" s="145"/>
      <c r="BC165" s="145"/>
      <c r="BD165" s="145"/>
      <c r="BE165" s="145"/>
    </row>
    <row r="166" spans="1:57" ht="12.75" hidden="1" x14ac:dyDescent="0.2">
      <c r="A166" s="144"/>
      <c r="B166" s="145"/>
      <c r="C166" s="145"/>
      <c r="D166" s="145"/>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c r="AA166" s="145"/>
      <c r="AB166" s="145"/>
      <c r="AC166" s="145"/>
      <c r="AD166" s="145"/>
      <c r="AE166" s="145"/>
      <c r="AF166" s="145"/>
      <c r="AG166" s="145"/>
      <c r="AH166" s="145"/>
      <c r="AI166" s="145"/>
      <c r="AJ166" s="145"/>
      <c r="AK166" s="145"/>
      <c r="AL166" s="145"/>
      <c r="AM166" s="145"/>
      <c r="AN166" s="145"/>
      <c r="AO166" s="145"/>
      <c r="AP166" s="145"/>
      <c r="AQ166" s="145"/>
      <c r="AR166" s="145"/>
      <c r="AS166" s="145"/>
      <c r="AT166" s="145"/>
      <c r="AU166" s="145"/>
      <c r="AV166" s="145"/>
      <c r="AW166" s="145"/>
      <c r="AX166" s="145"/>
      <c r="AY166" s="145"/>
      <c r="AZ166" s="145"/>
      <c r="BA166" s="145"/>
      <c r="BB166" s="145"/>
      <c r="BC166" s="145"/>
      <c r="BD166" s="145"/>
      <c r="BE166" s="145"/>
    </row>
    <row r="167" spans="1:57" ht="12.75" hidden="1" x14ac:dyDescent="0.2">
      <c r="A167" s="144"/>
      <c r="B167" s="145"/>
      <c r="C167" s="145"/>
      <c r="D167" s="145"/>
      <c r="E167" s="145"/>
      <c r="F167" s="145"/>
      <c r="G167" s="145"/>
      <c r="H167" s="145"/>
      <c r="I167" s="145"/>
      <c r="J167" s="145"/>
      <c r="K167" s="145"/>
      <c r="L167" s="145"/>
      <c r="M167" s="145"/>
      <c r="N167" s="145"/>
      <c r="O167" s="145"/>
      <c r="P167" s="145"/>
      <c r="Q167" s="145"/>
      <c r="R167" s="145"/>
      <c r="S167" s="145"/>
      <c r="T167" s="145"/>
      <c r="U167" s="145"/>
      <c r="V167" s="145"/>
      <c r="W167" s="145"/>
      <c r="X167" s="145"/>
      <c r="Y167" s="145"/>
      <c r="Z167" s="145"/>
      <c r="AA167" s="145"/>
      <c r="AB167" s="145"/>
      <c r="AC167" s="145"/>
      <c r="AD167" s="145"/>
      <c r="AE167" s="145"/>
      <c r="AF167" s="145"/>
      <c r="AG167" s="145"/>
      <c r="AH167" s="145"/>
      <c r="AI167" s="145"/>
      <c r="AJ167" s="145"/>
      <c r="AK167" s="145"/>
      <c r="AL167" s="145"/>
      <c r="AM167" s="145"/>
      <c r="AN167" s="145"/>
      <c r="AO167" s="145"/>
      <c r="AP167" s="145"/>
      <c r="AQ167" s="145"/>
      <c r="AR167" s="145"/>
      <c r="AS167" s="145"/>
      <c r="AT167" s="145"/>
      <c r="AU167" s="145"/>
      <c r="AV167" s="145"/>
      <c r="AW167" s="145"/>
      <c r="AX167" s="145"/>
      <c r="AY167" s="145"/>
      <c r="AZ167" s="145"/>
      <c r="BA167" s="145"/>
      <c r="BB167" s="145"/>
      <c r="BC167" s="145"/>
      <c r="BD167" s="145"/>
      <c r="BE167" s="145"/>
    </row>
    <row r="168" spans="1:57" ht="12.75" hidden="1" x14ac:dyDescent="0.2">
      <c r="A168" s="144"/>
      <c r="B168" s="145"/>
      <c r="C168" s="145"/>
      <c r="D168" s="145"/>
      <c r="E168" s="145"/>
      <c r="F168" s="145"/>
      <c r="G168" s="145"/>
      <c r="H168" s="145"/>
      <c r="I168" s="145"/>
      <c r="J168" s="145"/>
      <c r="K168" s="145"/>
      <c r="L168" s="145"/>
      <c r="M168" s="145"/>
      <c r="N168" s="145"/>
      <c r="O168" s="145"/>
      <c r="P168" s="145"/>
      <c r="Q168" s="145"/>
      <c r="R168" s="145"/>
      <c r="S168" s="145"/>
      <c r="T168" s="145"/>
      <c r="U168" s="145"/>
      <c r="V168" s="145"/>
      <c r="W168" s="145"/>
      <c r="X168" s="145"/>
      <c r="Y168" s="145"/>
      <c r="Z168" s="145"/>
      <c r="AA168" s="145"/>
      <c r="AB168" s="145"/>
      <c r="AC168" s="145"/>
      <c r="AD168" s="145"/>
      <c r="AE168" s="145"/>
      <c r="AF168" s="145"/>
      <c r="AG168" s="145"/>
      <c r="AH168" s="145"/>
      <c r="AI168" s="145"/>
      <c r="AJ168" s="145"/>
      <c r="AK168" s="145"/>
      <c r="AL168" s="145"/>
      <c r="AM168" s="145"/>
      <c r="AN168" s="145"/>
      <c r="AO168" s="145"/>
      <c r="AP168" s="145"/>
      <c r="AQ168" s="145"/>
      <c r="AR168" s="145"/>
      <c r="AS168" s="145"/>
      <c r="AT168" s="145"/>
      <c r="AU168" s="145"/>
      <c r="AV168" s="145"/>
      <c r="AW168" s="145"/>
      <c r="AX168" s="145"/>
      <c r="AY168" s="145"/>
      <c r="AZ168" s="145"/>
      <c r="BA168" s="145"/>
      <c r="BB168" s="145"/>
      <c r="BC168" s="145"/>
      <c r="BD168" s="145"/>
      <c r="BE168" s="145"/>
    </row>
    <row r="169" spans="1:57" ht="12.75" x14ac:dyDescent="0.2">
      <c r="A169" s="144"/>
      <c r="B169" s="145"/>
      <c r="C169" s="145"/>
      <c r="D169" s="145"/>
      <c r="E169" s="145"/>
      <c r="F169" s="145"/>
      <c r="G169" s="145"/>
      <c r="H169" s="145"/>
      <c r="I169" s="145"/>
      <c r="J169" s="145"/>
      <c r="K169" s="145"/>
      <c r="L169" s="145"/>
      <c r="M169" s="145"/>
      <c r="N169" s="145"/>
      <c r="O169" s="145"/>
      <c r="P169" s="145"/>
      <c r="Q169" s="145"/>
      <c r="R169" s="145"/>
      <c r="S169" s="145"/>
      <c r="T169" s="145"/>
      <c r="U169" s="145"/>
      <c r="V169" s="145"/>
      <c r="W169" s="145"/>
      <c r="X169" s="145"/>
      <c r="Y169" s="145"/>
      <c r="Z169" s="145"/>
      <c r="AA169" s="145"/>
      <c r="AB169" s="145"/>
      <c r="AC169" s="145"/>
      <c r="AD169" s="145"/>
      <c r="AE169" s="145"/>
      <c r="AF169" s="145"/>
      <c r="AG169" s="145"/>
      <c r="AH169" s="145"/>
      <c r="AI169" s="145"/>
      <c r="AJ169" s="145"/>
      <c r="AK169" s="145"/>
      <c r="AL169" s="145"/>
      <c r="AM169" s="145"/>
      <c r="AN169" s="145"/>
      <c r="AO169" s="145"/>
      <c r="AP169" s="145"/>
      <c r="AQ169" s="145"/>
      <c r="AR169" s="145"/>
      <c r="AS169" s="145"/>
      <c r="AT169" s="145"/>
      <c r="AU169" s="145"/>
      <c r="AV169" s="145"/>
      <c r="AW169" s="145"/>
      <c r="AX169" s="145"/>
      <c r="AY169" s="145"/>
      <c r="AZ169" s="145"/>
      <c r="BA169" s="145"/>
      <c r="BB169" s="145"/>
      <c r="BC169" s="145"/>
      <c r="BD169" s="145"/>
      <c r="BE169" s="145"/>
    </row>
    <row r="170" spans="1:57" ht="12.75" x14ac:dyDescent="0.2">
      <c r="A170" s="144"/>
      <c r="B170" s="145"/>
      <c r="C170" s="145"/>
      <c r="D170" s="145"/>
      <c r="E170" s="145"/>
      <c r="F170" s="145"/>
      <c r="G170" s="145"/>
      <c r="H170" s="145"/>
      <c r="I170" s="145"/>
      <c r="J170" s="145"/>
      <c r="K170" s="145"/>
      <c r="L170" s="145"/>
      <c r="M170" s="145"/>
      <c r="N170" s="145"/>
      <c r="O170" s="145"/>
      <c r="P170" s="145"/>
      <c r="Q170" s="145"/>
      <c r="R170" s="145"/>
      <c r="S170" s="145"/>
      <c r="T170" s="145"/>
      <c r="U170" s="145"/>
      <c r="V170" s="145"/>
      <c r="W170" s="145"/>
      <c r="X170" s="145"/>
      <c r="Y170" s="145"/>
      <c r="Z170" s="145"/>
      <c r="AA170" s="145"/>
      <c r="AB170" s="145"/>
      <c r="AC170" s="145"/>
      <c r="AD170" s="145"/>
      <c r="AE170" s="145"/>
      <c r="AF170" s="145"/>
      <c r="AG170" s="145"/>
      <c r="AH170" s="145"/>
      <c r="AI170" s="145"/>
      <c r="AJ170" s="145"/>
      <c r="AK170" s="145"/>
      <c r="AL170" s="145"/>
      <c r="AM170" s="145"/>
      <c r="AN170" s="145"/>
      <c r="AO170" s="145"/>
      <c r="AP170" s="145"/>
      <c r="AQ170" s="145"/>
      <c r="AR170" s="145"/>
      <c r="AS170" s="145"/>
      <c r="AT170" s="145"/>
      <c r="AU170" s="145"/>
      <c r="AV170" s="145"/>
      <c r="AW170" s="145"/>
      <c r="AX170" s="145"/>
      <c r="AY170" s="145"/>
      <c r="AZ170" s="145"/>
      <c r="BA170" s="145"/>
      <c r="BB170" s="145"/>
      <c r="BC170" s="145"/>
      <c r="BD170" s="145"/>
      <c r="BE170" s="145"/>
    </row>
    <row r="171" spans="1:57" ht="12.75" x14ac:dyDescent="0.2">
      <c r="A171" s="144"/>
      <c r="B171" s="145"/>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c r="AA171" s="145"/>
      <c r="AB171" s="145"/>
      <c r="AC171" s="145"/>
      <c r="AD171" s="145"/>
      <c r="AE171" s="145"/>
      <c r="AF171" s="145"/>
      <c r="AG171" s="145"/>
      <c r="AH171" s="145"/>
      <c r="AI171" s="145"/>
      <c r="AJ171" s="145"/>
      <c r="AK171" s="145"/>
      <c r="AL171" s="145"/>
      <c r="AM171" s="145"/>
      <c r="AN171" s="145"/>
      <c r="AO171" s="145"/>
      <c r="AP171" s="145"/>
      <c r="AQ171" s="145"/>
      <c r="AR171" s="145"/>
      <c r="AS171" s="145"/>
      <c r="AT171" s="145"/>
      <c r="AU171" s="145"/>
      <c r="AV171" s="145"/>
      <c r="AW171" s="145"/>
      <c r="AX171" s="145"/>
      <c r="AY171" s="145"/>
      <c r="AZ171" s="145"/>
      <c r="BA171" s="145"/>
      <c r="BB171" s="145"/>
      <c r="BC171" s="145"/>
      <c r="BD171" s="145"/>
      <c r="BE171" s="145"/>
    </row>
    <row r="172" spans="1:57" ht="12.75" x14ac:dyDescent="0.2">
      <c r="A172" s="144"/>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c r="AA172" s="145"/>
      <c r="AB172" s="145"/>
      <c r="AC172" s="145"/>
      <c r="AD172" s="145"/>
      <c r="AE172" s="145"/>
      <c r="AF172" s="145"/>
      <c r="AG172" s="145"/>
      <c r="AH172" s="145"/>
      <c r="AI172" s="145"/>
      <c r="AJ172" s="145"/>
      <c r="AK172" s="145"/>
      <c r="AL172" s="145"/>
      <c r="AM172" s="145"/>
      <c r="AN172" s="145"/>
      <c r="AO172" s="145"/>
      <c r="AP172" s="145"/>
      <c r="AQ172" s="145"/>
      <c r="AR172" s="145"/>
      <c r="AS172" s="145"/>
      <c r="AT172" s="145"/>
      <c r="AU172" s="145"/>
      <c r="AV172" s="145"/>
      <c r="AW172" s="145"/>
      <c r="AX172" s="145"/>
      <c r="AY172" s="145"/>
      <c r="AZ172" s="145"/>
      <c r="BA172" s="145"/>
      <c r="BB172" s="145"/>
      <c r="BC172" s="145"/>
      <c r="BD172" s="145"/>
      <c r="BE172" s="145"/>
    </row>
    <row r="173" spans="1:57" ht="12.75" x14ac:dyDescent="0.2">
      <c r="A173" s="144"/>
      <c r="B173" s="145"/>
      <c r="C173" s="145"/>
      <c r="D173" s="145"/>
      <c r="E173" s="145"/>
      <c r="F173" s="145"/>
      <c r="G173" s="145"/>
      <c r="H173" s="145"/>
      <c r="I173" s="145"/>
      <c r="J173" s="145"/>
      <c r="K173" s="145"/>
      <c r="L173" s="145"/>
      <c r="M173" s="145"/>
      <c r="N173" s="145"/>
      <c r="O173" s="145"/>
      <c r="P173" s="145"/>
      <c r="Q173" s="145"/>
      <c r="R173" s="145"/>
      <c r="S173" s="145"/>
      <c r="T173" s="145"/>
      <c r="U173" s="145"/>
      <c r="V173" s="145"/>
      <c r="W173" s="145"/>
      <c r="X173" s="145"/>
      <c r="Y173" s="145"/>
      <c r="Z173" s="145"/>
      <c r="AA173" s="145"/>
      <c r="AB173" s="145"/>
      <c r="AC173" s="145"/>
      <c r="AD173" s="145"/>
      <c r="AE173" s="145"/>
      <c r="AF173" s="145"/>
      <c r="AG173" s="145"/>
      <c r="AH173" s="145"/>
      <c r="AI173" s="145"/>
      <c r="AJ173" s="145"/>
      <c r="AK173" s="145"/>
      <c r="AL173" s="145"/>
      <c r="AM173" s="145"/>
      <c r="AN173" s="145"/>
      <c r="AO173" s="145"/>
      <c r="AP173" s="145"/>
      <c r="AQ173" s="145"/>
      <c r="AR173" s="145"/>
      <c r="AS173" s="145"/>
      <c r="AT173" s="145"/>
      <c r="AU173" s="145"/>
      <c r="AV173" s="145"/>
      <c r="AW173" s="145"/>
      <c r="AX173" s="145"/>
      <c r="AY173" s="145"/>
      <c r="AZ173" s="145"/>
      <c r="BA173" s="145"/>
      <c r="BB173" s="145"/>
      <c r="BC173" s="145"/>
      <c r="BD173" s="145"/>
      <c r="BE173" s="145"/>
    </row>
    <row r="174" spans="1:57" ht="12.75" x14ac:dyDescent="0.2">
      <c r="A174" s="144"/>
      <c r="B174" s="145"/>
      <c r="C174" s="145"/>
      <c r="D174" s="145"/>
      <c r="E174" s="145"/>
      <c r="F174" s="145"/>
      <c r="G174" s="145"/>
      <c r="H174" s="145"/>
      <c r="I174" s="145"/>
      <c r="J174" s="145"/>
      <c r="K174" s="145"/>
      <c r="L174" s="145"/>
      <c r="M174" s="145"/>
      <c r="N174" s="145"/>
      <c r="O174" s="145"/>
      <c r="P174" s="145"/>
      <c r="Q174" s="145"/>
      <c r="R174" s="145"/>
      <c r="S174" s="145"/>
      <c r="T174" s="145"/>
      <c r="U174" s="145"/>
      <c r="V174" s="145"/>
      <c r="W174" s="145"/>
      <c r="X174" s="145"/>
      <c r="Y174" s="145"/>
      <c r="Z174" s="145"/>
      <c r="AA174" s="145"/>
      <c r="AB174" s="145"/>
      <c r="AC174" s="145"/>
      <c r="AD174" s="145"/>
      <c r="AE174" s="145"/>
      <c r="AF174" s="145"/>
      <c r="AG174" s="145"/>
      <c r="AH174" s="145"/>
      <c r="AI174" s="145"/>
      <c r="AJ174" s="145"/>
      <c r="AK174" s="145"/>
      <c r="AL174" s="145"/>
      <c r="AM174" s="145"/>
      <c r="AN174" s="145"/>
      <c r="AO174" s="145"/>
      <c r="AP174" s="145"/>
      <c r="AQ174" s="145"/>
      <c r="AR174" s="145"/>
      <c r="AS174" s="145"/>
      <c r="AT174" s="145"/>
      <c r="AU174" s="145"/>
      <c r="AV174" s="145"/>
      <c r="AW174" s="145"/>
      <c r="AX174" s="145"/>
      <c r="AY174" s="145"/>
      <c r="AZ174" s="145"/>
      <c r="BA174" s="145"/>
      <c r="BB174" s="145"/>
      <c r="BC174" s="145"/>
      <c r="BD174" s="145"/>
      <c r="BE174" s="145"/>
    </row>
    <row r="175" spans="1:57" ht="12.75" x14ac:dyDescent="0.2">
      <c r="A175" s="144"/>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c r="AA175" s="145"/>
      <c r="AB175" s="145"/>
      <c r="AC175" s="145"/>
      <c r="AD175" s="145"/>
      <c r="AE175" s="145"/>
      <c r="AF175" s="145"/>
      <c r="AG175" s="145"/>
      <c r="AH175" s="145"/>
      <c r="AI175" s="145"/>
      <c r="AJ175" s="145"/>
      <c r="AK175" s="145"/>
      <c r="AL175" s="145"/>
      <c r="AM175" s="145"/>
      <c r="AN175" s="145"/>
      <c r="AO175" s="145"/>
      <c r="AP175" s="145"/>
      <c r="AQ175" s="145"/>
      <c r="AR175" s="145"/>
      <c r="AS175" s="145"/>
      <c r="AT175" s="145"/>
      <c r="AU175" s="145"/>
      <c r="AV175" s="145"/>
      <c r="AW175" s="145"/>
      <c r="AX175" s="145"/>
      <c r="AY175" s="145"/>
      <c r="AZ175" s="145"/>
      <c r="BA175" s="145"/>
      <c r="BB175" s="145"/>
      <c r="BC175" s="145"/>
      <c r="BD175" s="145"/>
      <c r="BE175" s="145"/>
    </row>
    <row r="176" spans="1:57" ht="12.75" x14ac:dyDescent="0.2">
      <c r="A176" s="144"/>
      <c r="B176" s="145"/>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c r="AA176" s="145"/>
      <c r="AB176" s="145"/>
      <c r="AC176" s="145"/>
      <c r="AD176" s="145"/>
      <c r="AE176" s="145"/>
      <c r="AF176" s="145"/>
      <c r="AG176" s="145"/>
      <c r="AH176" s="145"/>
      <c r="AI176" s="145"/>
      <c r="AJ176" s="145"/>
      <c r="AK176" s="145"/>
      <c r="AL176" s="145"/>
      <c r="AM176" s="145"/>
      <c r="AN176" s="145"/>
      <c r="AO176" s="145"/>
      <c r="AP176" s="145"/>
      <c r="AQ176" s="145"/>
      <c r="AR176" s="145"/>
      <c r="AS176" s="145"/>
      <c r="AT176" s="145"/>
      <c r="AU176" s="145"/>
      <c r="AV176" s="145"/>
      <c r="AW176" s="145"/>
      <c r="AX176" s="145"/>
      <c r="AY176" s="145"/>
      <c r="AZ176" s="145"/>
      <c r="BA176" s="145"/>
      <c r="BB176" s="145"/>
      <c r="BC176" s="145"/>
      <c r="BD176" s="145"/>
      <c r="BE176" s="145"/>
    </row>
    <row r="177" spans="1:57" ht="12.75" x14ac:dyDescent="0.2">
      <c r="A177" s="144"/>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c r="AA177" s="145"/>
      <c r="AB177" s="145"/>
      <c r="AC177" s="145"/>
      <c r="AD177" s="145"/>
      <c r="AE177" s="145"/>
      <c r="AF177" s="145"/>
      <c r="AG177" s="145"/>
      <c r="AH177" s="145"/>
      <c r="AI177" s="145"/>
      <c r="AJ177" s="145"/>
      <c r="AK177" s="145"/>
      <c r="AL177" s="145"/>
      <c r="AM177" s="145"/>
      <c r="AN177" s="145"/>
      <c r="AO177" s="145"/>
      <c r="AP177" s="145"/>
      <c r="AQ177" s="145"/>
      <c r="AR177" s="145"/>
      <c r="AS177" s="145"/>
      <c r="AT177" s="145"/>
      <c r="AU177" s="145"/>
      <c r="AV177" s="145"/>
      <c r="AW177" s="145"/>
      <c r="AX177" s="145"/>
      <c r="AY177" s="145"/>
      <c r="AZ177" s="145"/>
      <c r="BA177" s="145"/>
      <c r="BB177" s="145"/>
      <c r="BC177" s="145"/>
      <c r="BD177" s="145"/>
      <c r="BE177" s="145"/>
    </row>
    <row r="178" spans="1:57" ht="12.75" x14ac:dyDescent="0.2">
      <c r="A178" s="144"/>
      <c r="B178" s="145"/>
      <c r="C178" s="145"/>
      <c r="D178" s="145"/>
      <c r="E178" s="145"/>
      <c r="F178" s="145"/>
      <c r="G178" s="145"/>
      <c r="H178" s="145"/>
      <c r="I178" s="145"/>
      <c r="J178" s="145"/>
      <c r="K178" s="145"/>
      <c r="L178" s="145"/>
      <c r="M178" s="145"/>
      <c r="N178" s="145"/>
      <c r="O178" s="145"/>
      <c r="P178" s="145"/>
      <c r="Q178" s="145"/>
      <c r="R178" s="145"/>
      <c r="S178" s="145"/>
      <c r="T178" s="145"/>
      <c r="U178" s="145"/>
      <c r="V178" s="145"/>
      <c r="W178" s="145"/>
      <c r="X178" s="145"/>
      <c r="Y178" s="145"/>
      <c r="Z178" s="145"/>
      <c r="AA178" s="145"/>
      <c r="AB178" s="145"/>
      <c r="AC178" s="145"/>
      <c r="AD178" s="145"/>
      <c r="AE178" s="145"/>
      <c r="AF178" s="145"/>
      <c r="AG178" s="145"/>
      <c r="AH178" s="145"/>
      <c r="AI178" s="145"/>
      <c r="AJ178" s="145"/>
      <c r="AK178" s="145"/>
      <c r="AL178" s="145"/>
      <c r="AM178" s="145"/>
      <c r="AN178" s="145"/>
      <c r="AO178" s="145"/>
      <c r="AP178" s="145"/>
      <c r="AQ178" s="145"/>
      <c r="AR178" s="145"/>
      <c r="AS178" s="145"/>
      <c r="AT178" s="145"/>
      <c r="AU178" s="145"/>
      <c r="AV178" s="145"/>
      <c r="AW178" s="145"/>
      <c r="AX178" s="145"/>
      <c r="AY178" s="145"/>
      <c r="AZ178" s="145"/>
      <c r="BA178" s="145"/>
      <c r="BB178" s="145"/>
      <c r="BC178" s="145"/>
      <c r="BD178" s="145"/>
      <c r="BE178" s="145"/>
    </row>
    <row r="179" spans="1:57" ht="12.75" x14ac:dyDescent="0.2">
      <c r="A179" s="144"/>
      <c r="B179" s="145"/>
      <c r="C179" s="145"/>
      <c r="D179" s="145"/>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c r="AA179" s="145"/>
      <c r="AB179" s="145"/>
      <c r="AC179" s="145"/>
      <c r="AD179" s="145"/>
      <c r="AE179" s="145"/>
      <c r="AF179" s="145"/>
      <c r="AG179" s="145"/>
      <c r="AH179" s="145"/>
      <c r="AI179" s="145"/>
      <c r="AJ179" s="145"/>
      <c r="AK179" s="145"/>
      <c r="AL179" s="145"/>
      <c r="AM179" s="145"/>
      <c r="AN179" s="145"/>
      <c r="AO179" s="145"/>
      <c r="AP179" s="145"/>
      <c r="AQ179" s="145"/>
      <c r="AR179" s="145"/>
      <c r="AS179" s="145"/>
      <c r="AT179" s="145"/>
      <c r="AU179" s="145"/>
      <c r="AV179" s="145"/>
      <c r="AW179" s="145"/>
      <c r="AX179" s="145"/>
      <c r="AY179" s="145"/>
      <c r="AZ179" s="145"/>
      <c r="BA179" s="145"/>
      <c r="BB179" s="145"/>
      <c r="BC179" s="145"/>
      <c r="BD179" s="145"/>
      <c r="BE179" s="145"/>
    </row>
    <row r="180" spans="1:57" ht="12.75" x14ac:dyDescent="0.2">
      <c r="A180" s="144"/>
      <c r="B180" s="145"/>
      <c r="C180" s="145"/>
      <c r="D180" s="145"/>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c r="AA180" s="145"/>
      <c r="AB180" s="145"/>
      <c r="AC180" s="145"/>
      <c r="AD180" s="145"/>
      <c r="AE180" s="145"/>
      <c r="AF180" s="145"/>
      <c r="AG180" s="145"/>
      <c r="AH180" s="145"/>
      <c r="AI180" s="145"/>
      <c r="AJ180" s="145"/>
      <c r="AK180" s="145"/>
      <c r="AL180" s="145"/>
      <c r="AM180" s="145"/>
      <c r="AN180" s="145"/>
      <c r="AO180" s="145"/>
      <c r="AP180" s="145"/>
      <c r="AQ180" s="145"/>
      <c r="AR180" s="145"/>
      <c r="AS180" s="145"/>
      <c r="AT180" s="145"/>
      <c r="AU180" s="145"/>
      <c r="AV180" s="145"/>
      <c r="AW180" s="145"/>
      <c r="AX180" s="145"/>
      <c r="AY180" s="145"/>
      <c r="AZ180" s="145"/>
      <c r="BA180" s="145"/>
      <c r="BB180" s="145"/>
      <c r="BC180" s="145"/>
      <c r="BD180" s="145"/>
      <c r="BE180" s="145"/>
    </row>
    <row r="181" spans="1:57" ht="12.75" x14ac:dyDescent="0.2">
      <c r="A181" s="144"/>
      <c r="B181" s="145"/>
      <c r="C181" s="145"/>
      <c r="D181" s="145"/>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c r="AA181" s="145"/>
      <c r="AB181" s="145"/>
      <c r="AC181" s="145"/>
      <c r="AD181" s="145"/>
      <c r="AE181" s="145"/>
      <c r="AF181" s="145"/>
      <c r="AG181" s="145"/>
      <c r="AH181" s="145"/>
      <c r="AI181" s="145"/>
      <c r="AJ181" s="145"/>
      <c r="AK181" s="145"/>
      <c r="AL181" s="145"/>
      <c r="AM181" s="145"/>
      <c r="AN181" s="145"/>
      <c r="AO181" s="145"/>
      <c r="AP181" s="145"/>
      <c r="AQ181" s="145"/>
      <c r="AR181" s="145"/>
      <c r="AS181" s="145"/>
      <c r="AT181" s="145"/>
      <c r="AU181" s="145"/>
      <c r="AV181" s="145"/>
      <c r="AW181" s="145"/>
      <c r="AX181" s="145"/>
      <c r="AY181" s="145"/>
      <c r="AZ181" s="145"/>
      <c r="BA181" s="145"/>
      <c r="BB181" s="145"/>
      <c r="BC181" s="145"/>
      <c r="BD181" s="145"/>
      <c r="BE181" s="145"/>
    </row>
    <row r="182" spans="1:57" ht="12.75" x14ac:dyDescent="0.2">
      <c r="A182" s="144"/>
      <c r="B182" s="145"/>
      <c r="C182" s="145"/>
      <c r="D182" s="145"/>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c r="AA182" s="145"/>
      <c r="AB182" s="145"/>
      <c r="AC182" s="145"/>
      <c r="AD182" s="145"/>
      <c r="AE182" s="145"/>
      <c r="AF182" s="145"/>
      <c r="AG182" s="145"/>
      <c r="AH182" s="145"/>
      <c r="AI182" s="145"/>
      <c r="AJ182" s="145"/>
      <c r="AK182" s="145"/>
      <c r="AL182" s="145"/>
      <c r="AM182" s="145"/>
      <c r="AN182" s="145"/>
      <c r="AO182" s="145"/>
      <c r="AP182" s="145"/>
      <c r="AQ182" s="145"/>
      <c r="AR182" s="145"/>
      <c r="AS182" s="145"/>
      <c r="AT182" s="145"/>
      <c r="AU182" s="145"/>
      <c r="AV182" s="145"/>
      <c r="AW182" s="145"/>
      <c r="AX182" s="145"/>
      <c r="AY182" s="145"/>
      <c r="AZ182" s="145"/>
      <c r="BA182" s="145"/>
      <c r="BB182" s="145"/>
      <c r="BC182" s="145"/>
      <c r="BD182" s="145"/>
      <c r="BE182" s="145"/>
    </row>
    <row r="183" spans="1:57" ht="12.75" x14ac:dyDescent="0.2">
      <c r="A183" s="144"/>
      <c r="B183" s="145"/>
      <c r="C183" s="145"/>
      <c r="D183" s="145"/>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c r="AA183" s="145"/>
      <c r="AB183" s="145"/>
      <c r="AC183" s="145"/>
      <c r="AD183" s="145"/>
      <c r="AE183" s="145"/>
      <c r="AF183" s="145"/>
      <c r="AG183" s="145"/>
      <c r="AH183" s="145"/>
      <c r="AI183" s="145"/>
      <c r="AJ183" s="145"/>
      <c r="AK183" s="145"/>
      <c r="AL183" s="145"/>
      <c r="AM183" s="145"/>
      <c r="AN183" s="145"/>
      <c r="AO183" s="145"/>
      <c r="AP183" s="145"/>
      <c r="AQ183" s="145"/>
      <c r="AR183" s="145"/>
      <c r="AS183" s="145"/>
      <c r="AT183" s="145"/>
      <c r="AU183" s="145"/>
      <c r="AV183" s="145"/>
      <c r="AW183" s="145"/>
      <c r="AX183" s="145"/>
      <c r="AY183" s="145"/>
      <c r="AZ183" s="145"/>
      <c r="BA183" s="145"/>
      <c r="BB183" s="145"/>
      <c r="BC183" s="145"/>
      <c r="BD183" s="145"/>
      <c r="BE183" s="145"/>
    </row>
    <row r="184" spans="1:57" ht="12.75" x14ac:dyDescent="0.2">
      <c r="A184" s="144"/>
      <c r="B184" s="145"/>
      <c r="C184" s="145"/>
      <c r="D184" s="145"/>
      <c r="E184" s="145"/>
      <c r="F184" s="145"/>
      <c r="G184" s="145"/>
      <c r="H184" s="145"/>
      <c r="I184" s="145"/>
      <c r="J184" s="145"/>
      <c r="K184" s="145"/>
      <c r="L184" s="145"/>
      <c r="M184" s="145"/>
      <c r="N184" s="145"/>
      <c r="O184" s="145"/>
      <c r="P184" s="145"/>
      <c r="Q184" s="145"/>
      <c r="R184" s="145"/>
      <c r="S184" s="145"/>
      <c r="T184" s="145"/>
      <c r="U184" s="145"/>
      <c r="V184" s="145"/>
      <c r="W184" s="145"/>
      <c r="X184" s="145"/>
      <c r="Y184" s="145"/>
      <c r="Z184" s="145"/>
      <c r="AA184" s="145"/>
      <c r="AB184" s="145"/>
      <c r="AC184" s="145"/>
      <c r="AD184" s="145"/>
      <c r="AE184" s="145"/>
      <c r="AF184" s="145"/>
      <c r="AG184" s="145"/>
      <c r="AH184" s="145"/>
      <c r="AI184" s="145"/>
      <c r="AJ184" s="145"/>
      <c r="AK184" s="145"/>
      <c r="AL184" s="145"/>
      <c r="AM184" s="145"/>
      <c r="AN184" s="145"/>
      <c r="AO184" s="145"/>
      <c r="AP184" s="145"/>
      <c r="AQ184" s="145"/>
      <c r="AR184" s="145"/>
      <c r="AS184" s="145"/>
      <c r="AT184" s="145"/>
      <c r="AU184" s="145"/>
      <c r="AV184" s="145"/>
      <c r="AW184" s="145"/>
      <c r="AX184" s="145"/>
      <c r="AY184" s="145"/>
      <c r="AZ184" s="145"/>
      <c r="BA184" s="145"/>
      <c r="BB184" s="145"/>
      <c r="BC184" s="145"/>
      <c r="BD184" s="145"/>
      <c r="BE184" s="145"/>
    </row>
    <row r="185" spans="1:57" ht="12.75" x14ac:dyDescent="0.2">
      <c r="A185" s="144"/>
      <c r="B185" s="145"/>
      <c r="C185" s="145"/>
      <c r="D185" s="145"/>
      <c r="E185" s="145"/>
      <c r="F185" s="145"/>
      <c r="G185" s="145"/>
      <c r="H185" s="145"/>
      <c r="I185" s="145"/>
      <c r="J185" s="145"/>
      <c r="K185" s="145"/>
      <c r="L185" s="145"/>
      <c r="M185" s="145"/>
      <c r="N185" s="145"/>
      <c r="O185" s="145"/>
      <c r="P185" s="145"/>
      <c r="Q185" s="145"/>
      <c r="R185" s="145"/>
      <c r="S185" s="145"/>
      <c r="T185" s="145"/>
      <c r="U185" s="145"/>
      <c r="V185" s="145"/>
      <c r="W185" s="145"/>
      <c r="X185" s="145"/>
      <c r="Y185" s="145"/>
      <c r="Z185" s="145"/>
      <c r="AA185" s="145"/>
      <c r="AB185" s="145"/>
      <c r="AC185" s="145"/>
      <c r="AD185" s="145"/>
      <c r="AE185" s="145"/>
      <c r="AF185" s="145"/>
      <c r="AG185" s="145"/>
      <c r="AH185" s="145"/>
      <c r="AI185" s="145"/>
      <c r="AJ185" s="145"/>
      <c r="AK185" s="145"/>
      <c r="AL185" s="145"/>
      <c r="AM185" s="145"/>
      <c r="AN185" s="145"/>
      <c r="AO185" s="145"/>
      <c r="AP185" s="145"/>
      <c r="AQ185" s="145"/>
      <c r="AR185" s="145"/>
      <c r="AS185" s="145"/>
      <c r="AT185" s="145"/>
      <c r="AU185" s="145"/>
      <c r="AV185" s="145"/>
      <c r="AW185" s="145"/>
      <c r="AX185" s="145"/>
      <c r="AY185" s="145"/>
      <c r="AZ185" s="145"/>
      <c r="BA185" s="145"/>
      <c r="BB185" s="145"/>
      <c r="BC185" s="145"/>
      <c r="BD185" s="145"/>
      <c r="BE185" s="145"/>
    </row>
    <row r="186" spans="1:57" ht="12.75" x14ac:dyDescent="0.2">
      <c r="A186" s="144"/>
      <c r="B186" s="145"/>
      <c r="C186" s="145"/>
      <c r="D186" s="145"/>
      <c r="E186" s="145"/>
      <c r="F186" s="145"/>
      <c r="G186" s="145"/>
      <c r="H186" s="145"/>
      <c r="I186" s="145"/>
      <c r="J186" s="145"/>
      <c r="K186" s="145"/>
      <c r="L186" s="145"/>
      <c r="M186" s="145"/>
      <c r="N186" s="145"/>
      <c r="O186" s="145"/>
      <c r="P186" s="145"/>
      <c r="Q186" s="145"/>
      <c r="R186" s="145"/>
      <c r="S186" s="145"/>
      <c r="T186" s="145"/>
      <c r="U186" s="145"/>
      <c r="V186" s="145"/>
      <c r="W186" s="145"/>
      <c r="X186" s="145"/>
      <c r="Y186" s="145"/>
      <c r="Z186" s="145"/>
      <c r="AA186" s="145"/>
      <c r="AB186" s="145"/>
      <c r="AC186" s="145"/>
      <c r="AD186" s="145"/>
      <c r="AE186" s="145"/>
      <c r="AF186" s="145"/>
      <c r="AG186" s="145"/>
      <c r="AH186" s="145"/>
      <c r="AI186" s="145"/>
      <c r="AJ186" s="145"/>
      <c r="AK186" s="145"/>
      <c r="AL186" s="145"/>
      <c r="AM186" s="145"/>
      <c r="AN186" s="145"/>
      <c r="AO186" s="145"/>
      <c r="AP186" s="145"/>
      <c r="AQ186" s="145"/>
      <c r="AR186" s="145"/>
      <c r="AS186" s="145"/>
      <c r="AT186" s="145"/>
      <c r="AU186" s="145"/>
      <c r="AV186" s="145"/>
      <c r="AW186" s="145"/>
      <c r="AX186" s="145"/>
      <c r="AY186" s="145"/>
      <c r="AZ186" s="145"/>
      <c r="BA186" s="145"/>
      <c r="BB186" s="145"/>
      <c r="BC186" s="145"/>
      <c r="BD186" s="145"/>
      <c r="BE186" s="145"/>
    </row>
    <row r="187" spans="1:57" ht="12.75" x14ac:dyDescent="0.2">
      <c r="A187" s="144"/>
      <c r="B187" s="145"/>
      <c r="C187" s="145"/>
      <c r="D187" s="145"/>
      <c r="E187" s="145"/>
      <c r="F187" s="145"/>
      <c r="G187" s="145"/>
      <c r="H187" s="145"/>
      <c r="I187" s="145"/>
      <c r="J187" s="145"/>
      <c r="K187" s="145"/>
      <c r="L187" s="145"/>
      <c r="M187" s="145"/>
      <c r="N187" s="145"/>
      <c r="O187" s="145"/>
      <c r="P187" s="145"/>
      <c r="Q187" s="145"/>
      <c r="R187" s="145"/>
      <c r="S187" s="145"/>
      <c r="T187" s="145"/>
      <c r="U187" s="145"/>
      <c r="V187" s="145"/>
      <c r="W187" s="145"/>
      <c r="X187" s="145"/>
      <c r="Y187" s="145"/>
      <c r="Z187" s="145"/>
      <c r="AA187" s="145"/>
      <c r="AB187" s="145"/>
      <c r="AC187" s="145"/>
      <c r="AD187" s="145"/>
      <c r="AE187" s="145"/>
      <c r="AF187" s="145"/>
      <c r="AG187" s="145"/>
      <c r="AH187" s="145"/>
      <c r="AI187" s="145"/>
      <c r="AJ187" s="145"/>
      <c r="AK187" s="145"/>
      <c r="AL187" s="145"/>
      <c r="AM187" s="145"/>
      <c r="AN187" s="145"/>
      <c r="AO187" s="145"/>
      <c r="AP187" s="145"/>
      <c r="AQ187" s="145"/>
      <c r="AR187" s="145"/>
      <c r="AS187" s="145"/>
      <c r="AT187" s="145"/>
      <c r="AU187" s="145"/>
      <c r="AV187" s="145"/>
      <c r="AW187" s="145"/>
      <c r="AX187" s="145"/>
      <c r="AY187" s="145"/>
      <c r="AZ187" s="145"/>
      <c r="BA187" s="145"/>
      <c r="BB187" s="145"/>
      <c r="BC187" s="145"/>
      <c r="BD187" s="145"/>
      <c r="BE187" s="145"/>
    </row>
    <row r="188" spans="1:57" ht="12.75" x14ac:dyDescent="0.2">
      <c r="A188" s="144"/>
      <c r="B188" s="145"/>
      <c r="C188" s="145"/>
      <c r="D188" s="145"/>
      <c r="E188" s="145"/>
      <c r="F188" s="145"/>
      <c r="G188" s="145"/>
      <c r="H188" s="145"/>
      <c r="I188" s="145"/>
      <c r="J188" s="145"/>
      <c r="K188" s="145"/>
      <c r="L188" s="145"/>
      <c r="M188" s="145"/>
      <c r="N188" s="145"/>
      <c r="O188" s="145"/>
      <c r="P188" s="145"/>
      <c r="Q188" s="145"/>
      <c r="R188" s="145"/>
      <c r="S188" s="145"/>
      <c r="T188" s="145"/>
      <c r="U188" s="145"/>
      <c r="V188" s="145"/>
      <c r="W188" s="145"/>
      <c r="X188" s="145"/>
      <c r="Y188" s="145"/>
      <c r="Z188" s="145"/>
      <c r="AA188" s="145"/>
      <c r="AB188" s="145"/>
      <c r="AC188" s="145"/>
      <c r="AD188" s="145"/>
      <c r="AE188" s="145"/>
      <c r="AF188" s="145"/>
      <c r="AG188" s="145"/>
      <c r="AH188" s="145"/>
      <c r="AI188" s="145"/>
      <c r="AJ188" s="145"/>
      <c r="AK188" s="145"/>
      <c r="AL188" s="145"/>
      <c r="AM188" s="145"/>
      <c r="AN188" s="145"/>
      <c r="AO188" s="145"/>
      <c r="AP188" s="145"/>
      <c r="AQ188" s="145"/>
      <c r="AR188" s="145"/>
      <c r="AS188" s="145"/>
      <c r="AT188" s="145"/>
      <c r="AU188" s="145"/>
      <c r="AV188" s="145"/>
      <c r="AW188" s="145"/>
      <c r="AX188" s="145"/>
      <c r="AY188" s="145"/>
      <c r="AZ188" s="145"/>
      <c r="BA188" s="145"/>
      <c r="BB188" s="145"/>
      <c r="BC188" s="145"/>
      <c r="BD188" s="145"/>
      <c r="BE188" s="145"/>
    </row>
    <row r="189" spans="1:57" ht="12.75" x14ac:dyDescent="0.2">
      <c r="A189" s="144"/>
      <c r="B189" s="145"/>
      <c r="C189" s="145"/>
      <c r="D189" s="145"/>
      <c r="E189" s="145"/>
      <c r="F189" s="145"/>
      <c r="G189" s="145"/>
      <c r="H189" s="145"/>
      <c r="I189" s="145"/>
      <c r="J189" s="145"/>
      <c r="K189" s="145"/>
      <c r="L189" s="145"/>
      <c r="M189" s="145"/>
      <c r="N189" s="145"/>
      <c r="O189" s="145"/>
      <c r="P189" s="145"/>
      <c r="Q189" s="145"/>
      <c r="R189" s="145"/>
      <c r="S189" s="145"/>
      <c r="T189" s="145"/>
      <c r="U189" s="145"/>
      <c r="V189" s="145"/>
      <c r="W189" s="145"/>
      <c r="X189" s="145"/>
      <c r="Y189" s="145"/>
      <c r="Z189" s="145"/>
      <c r="AA189" s="145"/>
      <c r="AB189" s="145"/>
      <c r="AC189" s="145"/>
      <c r="AD189" s="145"/>
      <c r="AE189" s="145"/>
      <c r="AF189" s="145"/>
      <c r="AG189" s="145"/>
      <c r="AH189" s="145"/>
      <c r="AI189" s="145"/>
      <c r="AJ189" s="145"/>
      <c r="AK189" s="145"/>
      <c r="AL189" s="145"/>
      <c r="AM189" s="145"/>
      <c r="AN189" s="145"/>
      <c r="AO189" s="145"/>
      <c r="AP189" s="145"/>
      <c r="AQ189" s="145"/>
      <c r="AR189" s="145"/>
      <c r="AS189" s="145"/>
      <c r="AT189" s="145"/>
      <c r="AU189" s="145"/>
      <c r="AV189" s="145"/>
      <c r="AW189" s="145"/>
      <c r="AX189" s="145"/>
      <c r="AY189" s="145"/>
      <c r="AZ189" s="145"/>
      <c r="BA189" s="145"/>
      <c r="BB189" s="145"/>
      <c r="BC189" s="145"/>
      <c r="BD189" s="145"/>
      <c r="BE189" s="145"/>
    </row>
    <row r="190" spans="1:57" ht="12.75" x14ac:dyDescent="0.2">
      <c r="A190" s="144"/>
      <c r="B190" s="145"/>
      <c r="C190" s="145"/>
      <c r="D190" s="145"/>
      <c r="E190" s="145"/>
      <c r="F190" s="145"/>
      <c r="G190" s="145"/>
      <c r="H190" s="145"/>
      <c r="I190" s="145"/>
      <c r="J190" s="145"/>
      <c r="K190" s="145"/>
      <c r="L190" s="145"/>
      <c r="M190" s="145"/>
      <c r="N190" s="145"/>
      <c r="O190" s="145"/>
      <c r="P190" s="145"/>
      <c r="Q190" s="145"/>
      <c r="R190" s="145"/>
      <c r="S190" s="145"/>
      <c r="T190" s="145"/>
      <c r="U190" s="145"/>
      <c r="V190" s="145"/>
      <c r="W190" s="145"/>
      <c r="X190" s="145"/>
      <c r="Y190" s="145"/>
      <c r="Z190" s="145"/>
      <c r="AA190" s="145"/>
      <c r="AB190" s="145"/>
      <c r="AC190" s="145"/>
      <c r="AD190" s="145"/>
      <c r="AE190" s="145"/>
      <c r="AF190" s="145"/>
      <c r="AG190" s="145"/>
      <c r="AH190" s="145"/>
      <c r="AI190" s="145"/>
      <c r="AJ190" s="145"/>
      <c r="AK190" s="145"/>
      <c r="AL190" s="145"/>
      <c r="AM190" s="145"/>
      <c r="AN190" s="145"/>
      <c r="AO190" s="145"/>
      <c r="AP190" s="145"/>
      <c r="AQ190" s="145"/>
      <c r="AR190" s="145"/>
      <c r="AS190" s="145"/>
      <c r="AT190" s="145"/>
      <c r="AU190" s="145"/>
      <c r="AV190" s="145"/>
      <c r="AW190" s="145"/>
      <c r="AX190" s="145"/>
      <c r="AY190" s="145"/>
      <c r="AZ190" s="145"/>
      <c r="BA190" s="145"/>
      <c r="BB190" s="145"/>
      <c r="BC190" s="145"/>
      <c r="BD190" s="145"/>
      <c r="BE190" s="145"/>
    </row>
    <row r="191" spans="1:57" ht="12.75" x14ac:dyDescent="0.2">
      <c r="A191" s="144"/>
      <c r="B191" s="145"/>
      <c r="C191" s="145"/>
      <c r="D191" s="145"/>
      <c r="E191" s="145"/>
      <c r="F191" s="145"/>
      <c r="G191" s="145"/>
      <c r="H191" s="145"/>
      <c r="I191" s="145"/>
      <c r="J191" s="145"/>
      <c r="K191" s="145"/>
      <c r="L191" s="145"/>
      <c r="M191" s="145"/>
      <c r="N191" s="145"/>
      <c r="O191" s="145"/>
      <c r="P191" s="145"/>
      <c r="Q191" s="145"/>
      <c r="R191" s="145"/>
      <c r="S191" s="145"/>
      <c r="T191" s="145"/>
      <c r="U191" s="145"/>
      <c r="V191" s="145"/>
      <c r="W191" s="145"/>
      <c r="X191" s="145"/>
      <c r="Y191" s="145"/>
      <c r="Z191" s="145"/>
      <c r="AA191" s="145"/>
      <c r="AB191" s="145"/>
      <c r="AC191" s="145"/>
      <c r="AD191" s="145"/>
      <c r="AE191" s="145"/>
      <c r="AF191" s="145"/>
      <c r="AG191" s="145"/>
      <c r="AH191" s="145"/>
      <c r="AI191" s="145"/>
      <c r="AJ191" s="145"/>
      <c r="AK191" s="145"/>
      <c r="AL191" s="145"/>
      <c r="AM191" s="145"/>
      <c r="AN191" s="145"/>
      <c r="AO191" s="145"/>
      <c r="AP191" s="145"/>
      <c r="AQ191" s="145"/>
      <c r="AR191" s="145"/>
      <c r="AS191" s="145"/>
      <c r="AT191" s="145"/>
      <c r="AU191" s="145"/>
      <c r="AV191" s="145"/>
      <c r="AW191" s="145"/>
      <c r="AX191" s="145"/>
      <c r="AY191" s="145"/>
      <c r="AZ191" s="145"/>
      <c r="BA191" s="145"/>
      <c r="BB191" s="145"/>
      <c r="BC191" s="145"/>
      <c r="BD191" s="145"/>
      <c r="BE191" s="145"/>
    </row>
    <row r="192" spans="1:57" ht="12.75" x14ac:dyDescent="0.2">
      <c r="A192" s="144"/>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c r="AA192" s="145"/>
      <c r="AB192" s="145"/>
      <c r="AC192" s="145"/>
      <c r="AD192" s="145"/>
      <c r="AE192" s="145"/>
      <c r="AF192" s="145"/>
      <c r="AG192" s="145"/>
      <c r="AH192" s="145"/>
      <c r="AI192" s="145"/>
      <c r="AJ192" s="145"/>
      <c r="AK192" s="145"/>
      <c r="AL192" s="145"/>
      <c r="AM192" s="145"/>
      <c r="AN192" s="145"/>
      <c r="AO192" s="145"/>
      <c r="AP192" s="145"/>
      <c r="AQ192" s="145"/>
      <c r="AR192" s="145"/>
      <c r="AS192" s="145"/>
      <c r="AT192" s="145"/>
      <c r="AU192" s="145"/>
      <c r="AV192" s="145"/>
      <c r="AW192" s="145"/>
      <c r="AX192" s="145"/>
      <c r="AY192" s="145"/>
      <c r="AZ192" s="145"/>
      <c r="BA192" s="145"/>
      <c r="BB192" s="145"/>
      <c r="BC192" s="145"/>
      <c r="BD192" s="145"/>
      <c r="BE192" s="145"/>
    </row>
    <row r="193" spans="1:57" ht="12.75" x14ac:dyDescent="0.2">
      <c r="A193" s="144"/>
      <c r="B193" s="145"/>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c r="AA193" s="145"/>
      <c r="AB193" s="145"/>
      <c r="AC193" s="145"/>
      <c r="AD193" s="145"/>
      <c r="AE193" s="145"/>
      <c r="AF193" s="145"/>
      <c r="AG193" s="145"/>
      <c r="AH193" s="145"/>
      <c r="AI193" s="145"/>
      <c r="AJ193" s="145"/>
      <c r="AK193" s="145"/>
      <c r="AL193" s="145"/>
      <c r="AM193" s="145"/>
      <c r="AN193" s="145"/>
      <c r="AO193" s="145"/>
      <c r="AP193" s="145"/>
      <c r="AQ193" s="145"/>
      <c r="AR193" s="145"/>
      <c r="AS193" s="145"/>
      <c r="AT193" s="145"/>
      <c r="AU193" s="145"/>
      <c r="AV193" s="145"/>
      <c r="AW193" s="145"/>
      <c r="AX193" s="145"/>
      <c r="AY193" s="145"/>
      <c r="AZ193" s="145"/>
      <c r="BA193" s="145"/>
      <c r="BB193" s="145"/>
      <c r="BC193" s="145"/>
      <c r="BD193" s="145"/>
      <c r="BE193" s="145"/>
    </row>
    <row r="194" spans="1:57" ht="12.75" x14ac:dyDescent="0.2">
      <c r="A194" s="144"/>
      <c r="B194" s="145"/>
      <c r="C194" s="145"/>
      <c r="D194" s="145"/>
      <c r="E194" s="145"/>
      <c r="F194" s="145"/>
      <c r="G194" s="145"/>
      <c r="H194" s="145"/>
      <c r="I194" s="145"/>
      <c r="J194" s="145"/>
      <c r="K194" s="145"/>
      <c r="L194" s="145"/>
      <c r="M194" s="145"/>
      <c r="N194" s="145"/>
      <c r="O194" s="145"/>
      <c r="P194" s="145"/>
      <c r="Q194" s="145"/>
      <c r="R194" s="145"/>
      <c r="S194" s="145"/>
      <c r="T194" s="145"/>
      <c r="U194" s="145"/>
      <c r="V194" s="145"/>
      <c r="W194" s="145"/>
      <c r="X194" s="145"/>
      <c r="Y194" s="145"/>
      <c r="Z194" s="145"/>
      <c r="AA194" s="145"/>
      <c r="AB194" s="145"/>
      <c r="AC194" s="145"/>
      <c r="AD194" s="145"/>
      <c r="AE194" s="145"/>
      <c r="AF194" s="145"/>
      <c r="AG194" s="145"/>
      <c r="AH194" s="145"/>
      <c r="AI194" s="145"/>
      <c r="AJ194" s="145"/>
      <c r="AK194" s="145"/>
      <c r="AL194" s="145"/>
      <c r="AM194" s="145"/>
      <c r="AN194" s="145"/>
      <c r="AO194" s="145"/>
      <c r="AP194" s="145"/>
      <c r="AQ194" s="145"/>
      <c r="AR194" s="145"/>
      <c r="AS194" s="145"/>
      <c r="AT194" s="145"/>
      <c r="AU194" s="145"/>
      <c r="AV194" s="145"/>
      <c r="AW194" s="145"/>
      <c r="AX194" s="145"/>
      <c r="AY194" s="145"/>
      <c r="AZ194" s="145"/>
      <c r="BA194" s="145"/>
      <c r="BB194" s="145"/>
      <c r="BC194" s="145"/>
      <c r="BD194" s="145"/>
      <c r="BE194" s="145"/>
    </row>
    <row r="195" spans="1:57" ht="12.75" x14ac:dyDescent="0.2">
      <c r="A195" s="144"/>
      <c r="B195" s="145"/>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c r="AA195" s="145"/>
      <c r="AB195" s="145"/>
      <c r="AC195" s="145"/>
      <c r="AD195" s="145"/>
      <c r="AE195" s="145"/>
      <c r="AF195" s="145"/>
      <c r="AG195" s="145"/>
      <c r="AH195" s="145"/>
      <c r="AI195" s="145"/>
      <c r="AJ195" s="145"/>
      <c r="AK195" s="145"/>
      <c r="AL195" s="145"/>
      <c r="AM195" s="145"/>
      <c r="AN195" s="145"/>
      <c r="AO195" s="145"/>
      <c r="AP195" s="145"/>
      <c r="AQ195" s="145"/>
      <c r="AR195" s="145"/>
      <c r="AS195" s="145"/>
      <c r="AT195" s="145"/>
      <c r="AU195" s="145"/>
      <c r="AV195" s="145"/>
      <c r="AW195" s="145"/>
      <c r="AX195" s="145"/>
      <c r="AY195" s="145"/>
      <c r="AZ195" s="145"/>
      <c r="BA195" s="145"/>
      <c r="BB195" s="145"/>
      <c r="BC195" s="145"/>
      <c r="BD195" s="145"/>
      <c r="BE195" s="145"/>
    </row>
    <row r="196" spans="1:57" ht="12.75" x14ac:dyDescent="0.2">
      <c r="A196" s="144"/>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c r="AA196" s="145"/>
      <c r="AB196" s="145"/>
      <c r="AC196" s="145"/>
      <c r="AD196" s="145"/>
      <c r="AE196" s="145"/>
      <c r="AF196" s="145"/>
      <c r="AG196" s="145"/>
      <c r="AH196" s="145"/>
      <c r="AI196" s="145"/>
      <c r="AJ196" s="145"/>
      <c r="AK196" s="145"/>
      <c r="AL196" s="145"/>
      <c r="AM196" s="145"/>
      <c r="AN196" s="145"/>
      <c r="AO196" s="145"/>
      <c r="AP196" s="145"/>
      <c r="AQ196" s="145"/>
      <c r="AR196" s="145"/>
      <c r="AS196" s="145"/>
      <c r="AT196" s="145"/>
      <c r="AU196" s="145"/>
      <c r="AV196" s="145"/>
      <c r="AW196" s="145"/>
      <c r="AX196" s="145"/>
      <c r="AY196" s="145"/>
      <c r="AZ196" s="145"/>
      <c r="BA196" s="145"/>
      <c r="BB196" s="145"/>
      <c r="BC196" s="145"/>
      <c r="BD196" s="145"/>
      <c r="BE196" s="145"/>
    </row>
    <row r="197" spans="1:57" ht="12.75" x14ac:dyDescent="0.2">
      <c r="A197" s="144"/>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c r="AA197" s="145"/>
      <c r="AB197" s="145"/>
      <c r="AC197" s="145"/>
      <c r="AD197" s="145"/>
      <c r="AE197" s="145"/>
      <c r="AF197" s="145"/>
      <c r="AG197" s="145"/>
      <c r="AH197" s="145"/>
      <c r="AI197" s="145"/>
      <c r="AJ197" s="145"/>
      <c r="AK197" s="145"/>
      <c r="AL197" s="145"/>
      <c r="AM197" s="145"/>
      <c r="AN197" s="145"/>
      <c r="AO197" s="145"/>
      <c r="AP197" s="145"/>
      <c r="AQ197" s="145"/>
      <c r="AR197" s="145"/>
      <c r="AS197" s="145"/>
      <c r="AT197" s="145"/>
      <c r="AU197" s="145"/>
      <c r="AV197" s="145"/>
      <c r="AW197" s="145"/>
      <c r="AX197" s="145"/>
      <c r="AY197" s="145"/>
      <c r="AZ197" s="145"/>
      <c r="BA197" s="145"/>
      <c r="BB197" s="145"/>
      <c r="BC197" s="145"/>
      <c r="BD197" s="145"/>
      <c r="BE197" s="145"/>
    </row>
    <row r="198" spans="1:57" ht="12.75" x14ac:dyDescent="0.2">
      <c r="A198" s="144"/>
      <c r="B198" s="145"/>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c r="AA198" s="145"/>
      <c r="AB198" s="145"/>
      <c r="AC198" s="145"/>
      <c r="AD198" s="145"/>
      <c r="AE198" s="145"/>
      <c r="AF198" s="145"/>
      <c r="AG198" s="145"/>
      <c r="AH198" s="145"/>
      <c r="AI198" s="145"/>
      <c r="AJ198" s="145"/>
      <c r="AK198" s="145"/>
      <c r="AL198" s="145"/>
      <c r="AM198" s="145"/>
      <c r="AN198" s="145"/>
      <c r="AO198" s="145"/>
      <c r="AP198" s="145"/>
      <c r="AQ198" s="145"/>
      <c r="AR198" s="145"/>
      <c r="AS198" s="145"/>
      <c r="AT198" s="145"/>
      <c r="AU198" s="145"/>
      <c r="AV198" s="145"/>
      <c r="AW198" s="145"/>
      <c r="AX198" s="145"/>
      <c r="AY198" s="145"/>
      <c r="AZ198" s="145"/>
      <c r="BA198" s="145"/>
      <c r="BB198" s="145"/>
      <c r="BC198" s="145"/>
      <c r="BD198" s="145"/>
      <c r="BE198" s="145"/>
    </row>
    <row r="199" spans="1:57" ht="12.75" x14ac:dyDescent="0.2">
      <c r="A199" s="144"/>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c r="AA199" s="145"/>
      <c r="AB199" s="145"/>
      <c r="AC199" s="145"/>
      <c r="AD199" s="145"/>
      <c r="AE199" s="145"/>
      <c r="AF199" s="145"/>
      <c r="AG199" s="145"/>
      <c r="AH199" s="145"/>
      <c r="AI199" s="145"/>
      <c r="AJ199" s="145"/>
      <c r="AK199" s="145"/>
      <c r="AL199" s="145"/>
      <c r="AM199" s="145"/>
      <c r="AN199" s="145"/>
      <c r="AO199" s="145"/>
      <c r="AP199" s="145"/>
      <c r="AQ199" s="145"/>
      <c r="AR199" s="145"/>
      <c r="AS199" s="145"/>
      <c r="AT199" s="145"/>
      <c r="AU199" s="145"/>
      <c r="AV199" s="145"/>
      <c r="AW199" s="145"/>
      <c r="AX199" s="145"/>
      <c r="AY199" s="145"/>
      <c r="AZ199" s="145"/>
      <c r="BA199" s="145"/>
      <c r="BB199" s="145"/>
      <c r="BC199" s="145"/>
      <c r="BD199" s="145"/>
      <c r="BE199" s="145"/>
    </row>
    <row r="200" spans="1:57" ht="12.75" x14ac:dyDescent="0.2">
      <c r="A200" s="144"/>
      <c r="B200" s="145"/>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c r="AA200" s="145"/>
      <c r="AB200" s="145"/>
      <c r="AC200" s="145"/>
      <c r="AD200" s="145"/>
      <c r="AE200" s="145"/>
      <c r="AF200" s="145"/>
      <c r="AG200" s="145"/>
      <c r="AH200" s="145"/>
      <c r="AI200" s="145"/>
      <c r="AJ200" s="145"/>
      <c r="AK200" s="145"/>
      <c r="AL200" s="145"/>
      <c r="AM200" s="145"/>
      <c r="AN200" s="145"/>
      <c r="AO200" s="145"/>
      <c r="AP200" s="145"/>
      <c r="AQ200" s="145"/>
      <c r="AR200" s="145"/>
      <c r="AS200" s="145"/>
      <c r="AT200" s="145"/>
      <c r="AU200" s="145"/>
      <c r="AV200" s="145"/>
      <c r="AW200" s="145"/>
      <c r="AX200" s="145"/>
      <c r="AY200" s="145"/>
      <c r="AZ200" s="145"/>
      <c r="BA200" s="145"/>
      <c r="BB200" s="145"/>
      <c r="BC200" s="145"/>
      <c r="BD200" s="145"/>
      <c r="BE200" s="145"/>
    </row>
    <row r="201" spans="1:57" ht="12.75" x14ac:dyDescent="0.2">
      <c r="A201" s="144"/>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c r="AA201" s="145"/>
      <c r="AB201" s="145"/>
      <c r="AC201" s="145"/>
      <c r="AD201" s="145"/>
      <c r="AE201" s="145"/>
      <c r="AF201" s="145"/>
      <c r="AG201" s="145"/>
      <c r="AH201" s="145"/>
      <c r="AI201" s="145"/>
      <c r="AJ201" s="145"/>
      <c r="AK201" s="145"/>
      <c r="AL201" s="145"/>
      <c r="AM201" s="145"/>
      <c r="AN201" s="145"/>
      <c r="AO201" s="145"/>
      <c r="AP201" s="145"/>
      <c r="AQ201" s="145"/>
      <c r="AR201" s="145"/>
      <c r="AS201" s="145"/>
      <c r="AT201" s="145"/>
      <c r="AU201" s="145"/>
      <c r="AV201" s="145"/>
      <c r="AW201" s="145"/>
      <c r="AX201" s="145"/>
      <c r="AY201" s="145"/>
      <c r="AZ201" s="145"/>
      <c r="BA201" s="145"/>
      <c r="BB201" s="145"/>
      <c r="BC201" s="145"/>
      <c r="BD201" s="145"/>
      <c r="BE201" s="145"/>
    </row>
    <row r="202" spans="1:57" ht="12.75" x14ac:dyDescent="0.2">
      <c r="A202" s="144"/>
      <c r="B202" s="145"/>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c r="AA202" s="145"/>
      <c r="AB202" s="145"/>
      <c r="AC202" s="145"/>
      <c r="AD202" s="145"/>
      <c r="AE202" s="145"/>
      <c r="AF202" s="145"/>
      <c r="AG202" s="145"/>
      <c r="AH202" s="145"/>
      <c r="AI202" s="145"/>
      <c r="AJ202" s="145"/>
      <c r="AK202" s="145"/>
      <c r="AL202" s="145"/>
      <c r="AM202" s="145"/>
      <c r="AN202" s="145"/>
      <c r="AO202" s="145"/>
      <c r="AP202" s="145"/>
      <c r="AQ202" s="145"/>
      <c r="AR202" s="145"/>
      <c r="AS202" s="145"/>
      <c r="AT202" s="145"/>
      <c r="AU202" s="145"/>
      <c r="AV202" s="145"/>
      <c r="AW202" s="145"/>
      <c r="AX202" s="145"/>
      <c r="AY202" s="145"/>
      <c r="AZ202" s="145"/>
      <c r="BA202" s="145"/>
      <c r="BB202" s="145"/>
      <c r="BC202" s="145"/>
      <c r="BD202" s="145"/>
      <c r="BE202" s="145"/>
    </row>
    <row r="203" spans="1:57" ht="12.75" x14ac:dyDescent="0.2">
      <c r="A203" s="144"/>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c r="AA203" s="145"/>
      <c r="AB203" s="145"/>
      <c r="AC203" s="145"/>
      <c r="AD203" s="145"/>
      <c r="AE203" s="145"/>
      <c r="AF203" s="145"/>
      <c r="AG203" s="145"/>
      <c r="AH203" s="145"/>
      <c r="AI203" s="145"/>
      <c r="AJ203" s="145"/>
      <c r="AK203" s="145"/>
      <c r="AL203" s="145"/>
      <c r="AM203" s="145"/>
      <c r="AN203" s="145"/>
      <c r="AO203" s="145"/>
      <c r="AP203" s="145"/>
      <c r="AQ203" s="145"/>
      <c r="AR203" s="145"/>
      <c r="AS203" s="145"/>
      <c r="AT203" s="145"/>
      <c r="AU203" s="145"/>
      <c r="AV203" s="145"/>
      <c r="AW203" s="145"/>
      <c r="AX203" s="145"/>
      <c r="AY203" s="145"/>
      <c r="AZ203" s="145"/>
      <c r="BA203" s="145"/>
      <c r="BB203" s="145"/>
      <c r="BC203" s="145"/>
      <c r="BD203" s="145"/>
      <c r="BE203" s="145"/>
    </row>
  </sheetData>
  <mergeCells count="22">
    <mergeCell ref="A97:L97"/>
    <mergeCell ref="B110:C110"/>
    <mergeCell ref="D110:E110"/>
    <mergeCell ref="D117:D120"/>
    <mergeCell ref="G117:G120"/>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60" workbookViewId="0">
      <selection activeCell="I26" sqref="I26"/>
    </sheetView>
  </sheetViews>
  <sheetFormatPr defaultRowHeight="15.75" x14ac:dyDescent="0.25"/>
  <cols>
    <col min="1" max="1" width="9.140625" style="190"/>
    <col min="2" max="2" width="37.7109375" style="190" customWidth="1"/>
    <col min="3" max="6" width="16.140625" style="190" customWidth="1"/>
    <col min="7" max="8" width="16.140625" style="190" hidden="1" customWidth="1"/>
    <col min="9" max="10" width="18.28515625" style="190" customWidth="1"/>
    <col min="11" max="11" width="64.85546875" style="190" customWidth="1"/>
    <col min="12" max="12" width="32.28515625" style="190" customWidth="1"/>
    <col min="13" max="252" width="9.140625" style="190"/>
    <col min="253" max="253" width="37.7109375" style="190" customWidth="1"/>
    <col min="254" max="254" width="9.140625" style="190"/>
    <col min="255" max="255" width="12.85546875" style="190" customWidth="1"/>
    <col min="256" max="257" width="0" style="190" hidden="1" customWidth="1"/>
    <col min="258" max="258" width="18.28515625" style="190" customWidth="1"/>
    <col min="259" max="259" width="64.85546875" style="190" customWidth="1"/>
    <col min="260" max="263" width="9.140625" style="190"/>
    <col min="264" max="264" width="14.85546875" style="190" customWidth="1"/>
    <col min="265" max="508" width="9.140625" style="190"/>
    <col min="509" max="509" width="37.7109375" style="190" customWidth="1"/>
    <col min="510" max="510" width="9.140625" style="190"/>
    <col min="511" max="511" width="12.85546875" style="190" customWidth="1"/>
    <col min="512" max="513" width="0" style="190" hidden="1" customWidth="1"/>
    <col min="514" max="514" width="18.28515625" style="190" customWidth="1"/>
    <col min="515" max="515" width="64.85546875" style="190" customWidth="1"/>
    <col min="516" max="519" width="9.140625" style="190"/>
    <col min="520" max="520" width="14.85546875" style="190" customWidth="1"/>
    <col min="521" max="764" width="9.140625" style="190"/>
    <col min="765" max="765" width="37.7109375" style="190" customWidth="1"/>
    <col min="766" max="766" width="9.140625" style="190"/>
    <col min="767" max="767" width="12.85546875" style="190" customWidth="1"/>
    <col min="768" max="769" width="0" style="190" hidden="1" customWidth="1"/>
    <col min="770" max="770" width="18.28515625" style="190" customWidth="1"/>
    <col min="771" max="771" width="64.85546875" style="190" customWidth="1"/>
    <col min="772" max="775" width="9.140625" style="190"/>
    <col min="776" max="776" width="14.85546875" style="190" customWidth="1"/>
    <col min="777" max="1020" width="9.140625" style="190"/>
    <col min="1021" max="1021" width="37.7109375" style="190" customWidth="1"/>
    <col min="1022" max="1022" width="9.140625" style="190"/>
    <col min="1023" max="1023" width="12.85546875" style="190" customWidth="1"/>
    <col min="1024" max="1025" width="0" style="190" hidden="1" customWidth="1"/>
    <col min="1026" max="1026" width="18.28515625" style="190" customWidth="1"/>
    <col min="1027" max="1027" width="64.85546875" style="190" customWidth="1"/>
    <col min="1028" max="1031" width="9.140625" style="190"/>
    <col min="1032" max="1032" width="14.85546875" style="190" customWidth="1"/>
    <col min="1033" max="1276" width="9.140625" style="190"/>
    <col min="1277" max="1277" width="37.7109375" style="190" customWidth="1"/>
    <col min="1278" max="1278" width="9.140625" style="190"/>
    <col min="1279" max="1279" width="12.85546875" style="190" customWidth="1"/>
    <col min="1280" max="1281" width="0" style="190" hidden="1" customWidth="1"/>
    <col min="1282" max="1282" width="18.28515625" style="190" customWidth="1"/>
    <col min="1283" max="1283" width="64.85546875" style="190" customWidth="1"/>
    <col min="1284" max="1287" width="9.140625" style="190"/>
    <col min="1288" max="1288" width="14.85546875" style="190" customWidth="1"/>
    <col min="1289" max="1532" width="9.140625" style="190"/>
    <col min="1533" max="1533" width="37.7109375" style="190" customWidth="1"/>
    <col min="1534" max="1534" width="9.140625" style="190"/>
    <col min="1535" max="1535" width="12.85546875" style="190" customWidth="1"/>
    <col min="1536" max="1537" width="0" style="190" hidden="1" customWidth="1"/>
    <col min="1538" max="1538" width="18.28515625" style="190" customWidth="1"/>
    <col min="1539" max="1539" width="64.85546875" style="190" customWidth="1"/>
    <col min="1540" max="1543" width="9.140625" style="190"/>
    <col min="1544" max="1544" width="14.85546875" style="190" customWidth="1"/>
    <col min="1545" max="1788" width="9.140625" style="190"/>
    <col min="1789" max="1789" width="37.7109375" style="190" customWidth="1"/>
    <col min="1790" max="1790" width="9.140625" style="190"/>
    <col min="1791" max="1791" width="12.85546875" style="190" customWidth="1"/>
    <col min="1792" max="1793" width="0" style="190" hidden="1" customWidth="1"/>
    <col min="1794" max="1794" width="18.28515625" style="190" customWidth="1"/>
    <col min="1795" max="1795" width="64.85546875" style="190" customWidth="1"/>
    <col min="1796" max="1799" width="9.140625" style="190"/>
    <col min="1800" max="1800" width="14.85546875" style="190" customWidth="1"/>
    <col min="1801" max="2044" width="9.140625" style="190"/>
    <col min="2045" max="2045" width="37.7109375" style="190" customWidth="1"/>
    <col min="2046" max="2046" width="9.140625" style="190"/>
    <col min="2047" max="2047" width="12.85546875" style="190" customWidth="1"/>
    <col min="2048" max="2049" width="0" style="190" hidden="1" customWidth="1"/>
    <col min="2050" max="2050" width="18.28515625" style="190" customWidth="1"/>
    <col min="2051" max="2051" width="64.85546875" style="190" customWidth="1"/>
    <col min="2052" max="2055" width="9.140625" style="190"/>
    <col min="2056" max="2056" width="14.85546875" style="190" customWidth="1"/>
    <col min="2057" max="2300" width="9.140625" style="190"/>
    <col min="2301" max="2301" width="37.7109375" style="190" customWidth="1"/>
    <col min="2302" max="2302" width="9.140625" style="190"/>
    <col min="2303" max="2303" width="12.85546875" style="190" customWidth="1"/>
    <col min="2304" max="2305" width="0" style="190" hidden="1" customWidth="1"/>
    <col min="2306" max="2306" width="18.28515625" style="190" customWidth="1"/>
    <col min="2307" max="2307" width="64.85546875" style="190" customWidth="1"/>
    <col min="2308" max="2311" width="9.140625" style="190"/>
    <col min="2312" max="2312" width="14.85546875" style="190" customWidth="1"/>
    <col min="2313" max="2556" width="9.140625" style="190"/>
    <col min="2557" max="2557" width="37.7109375" style="190" customWidth="1"/>
    <col min="2558" max="2558" width="9.140625" style="190"/>
    <col min="2559" max="2559" width="12.85546875" style="190" customWidth="1"/>
    <col min="2560" max="2561" width="0" style="190" hidden="1" customWidth="1"/>
    <col min="2562" max="2562" width="18.28515625" style="190" customWidth="1"/>
    <col min="2563" max="2563" width="64.85546875" style="190" customWidth="1"/>
    <col min="2564" max="2567" width="9.140625" style="190"/>
    <col min="2568" max="2568" width="14.85546875" style="190" customWidth="1"/>
    <col min="2569" max="2812" width="9.140625" style="190"/>
    <col min="2813" max="2813" width="37.7109375" style="190" customWidth="1"/>
    <col min="2814" max="2814" width="9.140625" style="190"/>
    <col min="2815" max="2815" width="12.85546875" style="190" customWidth="1"/>
    <col min="2816" max="2817" width="0" style="190" hidden="1" customWidth="1"/>
    <col min="2818" max="2818" width="18.28515625" style="190" customWidth="1"/>
    <col min="2819" max="2819" width="64.85546875" style="190" customWidth="1"/>
    <col min="2820" max="2823" width="9.140625" style="190"/>
    <col min="2824" max="2824" width="14.85546875" style="190" customWidth="1"/>
    <col min="2825" max="3068" width="9.140625" style="190"/>
    <col min="3069" max="3069" width="37.7109375" style="190" customWidth="1"/>
    <col min="3070" max="3070" width="9.140625" style="190"/>
    <col min="3071" max="3071" width="12.85546875" style="190" customWidth="1"/>
    <col min="3072" max="3073" width="0" style="190" hidden="1" customWidth="1"/>
    <col min="3074" max="3074" width="18.28515625" style="190" customWidth="1"/>
    <col min="3075" max="3075" width="64.85546875" style="190" customWidth="1"/>
    <col min="3076" max="3079" width="9.140625" style="190"/>
    <col min="3080" max="3080" width="14.85546875" style="190" customWidth="1"/>
    <col min="3081" max="3324" width="9.140625" style="190"/>
    <col min="3325" max="3325" width="37.7109375" style="190" customWidth="1"/>
    <col min="3326" max="3326" width="9.140625" style="190"/>
    <col min="3327" max="3327" width="12.85546875" style="190" customWidth="1"/>
    <col min="3328" max="3329" width="0" style="190" hidden="1" customWidth="1"/>
    <col min="3330" max="3330" width="18.28515625" style="190" customWidth="1"/>
    <col min="3331" max="3331" width="64.85546875" style="190" customWidth="1"/>
    <col min="3332" max="3335" width="9.140625" style="190"/>
    <col min="3336" max="3336" width="14.85546875" style="190" customWidth="1"/>
    <col min="3337" max="3580" width="9.140625" style="190"/>
    <col min="3581" max="3581" width="37.7109375" style="190" customWidth="1"/>
    <col min="3582" max="3582" width="9.140625" style="190"/>
    <col min="3583" max="3583" width="12.85546875" style="190" customWidth="1"/>
    <col min="3584" max="3585" width="0" style="190" hidden="1" customWidth="1"/>
    <col min="3586" max="3586" width="18.28515625" style="190" customWidth="1"/>
    <col min="3587" max="3587" width="64.85546875" style="190" customWidth="1"/>
    <col min="3588" max="3591" width="9.140625" style="190"/>
    <col min="3592" max="3592" width="14.85546875" style="190" customWidth="1"/>
    <col min="3593" max="3836" width="9.140625" style="190"/>
    <col min="3837" max="3837" width="37.7109375" style="190" customWidth="1"/>
    <col min="3838" max="3838" width="9.140625" style="190"/>
    <col min="3839" max="3839" width="12.85546875" style="190" customWidth="1"/>
    <col min="3840" max="3841" width="0" style="190" hidden="1" customWidth="1"/>
    <col min="3842" max="3842" width="18.28515625" style="190" customWidth="1"/>
    <col min="3843" max="3843" width="64.85546875" style="190" customWidth="1"/>
    <col min="3844" max="3847" width="9.140625" style="190"/>
    <col min="3848" max="3848" width="14.85546875" style="190" customWidth="1"/>
    <col min="3849" max="4092" width="9.140625" style="190"/>
    <col min="4093" max="4093" width="37.7109375" style="190" customWidth="1"/>
    <col min="4094" max="4094" width="9.140625" style="190"/>
    <col min="4095" max="4095" width="12.85546875" style="190" customWidth="1"/>
    <col min="4096" max="4097" width="0" style="190" hidden="1" customWidth="1"/>
    <col min="4098" max="4098" width="18.28515625" style="190" customWidth="1"/>
    <col min="4099" max="4099" width="64.85546875" style="190" customWidth="1"/>
    <col min="4100" max="4103" width="9.140625" style="190"/>
    <col min="4104" max="4104" width="14.85546875" style="190" customWidth="1"/>
    <col min="4105" max="4348" width="9.140625" style="190"/>
    <col min="4349" max="4349" width="37.7109375" style="190" customWidth="1"/>
    <col min="4350" max="4350" width="9.140625" style="190"/>
    <col min="4351" max="4351" width="12.85546875" style="190" customWidth="1"/>
    <col min="4352" max="4353" width="0" style="190" hidden="1" customWidth="1"/>
    <col min="4354" max="4354" width="18.28515625" style="190" customWidth="1"/>
    <col min="4355" max="4355" width="64.85546875" style="190" customWidth="1"/>
    <col min="4356" max="4359" width="9.140625" style="190"/>
    <col min="4360" max="4360" width="14.85546875" style="190" customWidth="1"/>
    <col min="4361" max="4604" width="9.140625" style="190"/>
    <col min="4605" max="4605" width="37.7109375" style="190" customWidth="1"/>
    <col min="4606" max="4606" width="9.140625" style="190"/>
    <col min="4607" max="4607" width="12.85546875" style="190" customWidth="1"/>
    <col min="4608" max="4609" width="0" style="190" hidden="1" customWidth="1"/>
    <col min="4610" max="4610" width="18.28515625" style="190" customWidth="1"/>
    <col min="4611" max="4611" width="64.85546875" style="190" customWidth="1"/>
    <col min="4612" max="4615" width="9.140625" style="190"/>
    <col min="4616" max="4616" width="14.85546875" style="190" customWidth="1"/>
    <col min="4617" max="4860" width="9.140625" style="190"/>
    <col min="4861" max="4861" width="37.7109375" style="190" customWidth="1"/>
    <col min="4862" max="4862" width="9.140625" style="190"/>
    <col min="4863" max="4863" width="12.85546875" style="190" customWidth="1"/>
    <col min="4864" max="4865" width="0" style="190" hidden="1" customWidth="1"/>
    <col min="4866" max="4866" width="18.28515625" style="190" customWidth="1"/>
    <col min="4867" max="4867" width="64.85546875" style="190" customWidth="1"/>
    <col min="4868" max="4871" width="9.140625" style="190"/>
    <col min="4872" max="4872" width="14.85546875" style="190" customWidth="1"/>
    <col min="4873" max="5116" width="9.140625" style="190"/>
    <col min="5117" max="5117" width="37.7109375" style="190" customWidth="1"/>
    <col min="5118" max="5118" width="9.140625" style="190"/>
    <col min="5119" max="5119" width="12.85546875" style="190" customWidth="1"/>
    <col min="5120" max="5121" width="0" style="190" hidden="1" customWidth="1"/>
    <col min="5122" max="5122" width="18.28515625" style="190" customWidth="1"/>
    <col min="5123" max="5123" width="64.85546875" style="190" customWidth="1"/>
    <col min="5124" max="5127" width="9.140625" style="190"/>
    <col min="5128" max="5128" width="14.85546875" style="190" customWidth="1"/>
    <col min="5129" max="5372" width="9.140625" style="190"/>
    <col min="5373" max="5373" width="37.7109375" style="190" customWidth="1"/>
    <col min="5374" max="5374" width="9.140625" style="190"/>
    <col min="5375" max="5375" width="12.85546875" style="190" customWidth="1"/>
    <col min="5376" max="5377" width="0" style="190" hidden="1" customWidth="1"/>
    <col min="5378" max="5378" width="18.28515625" style="190" customWidth="1"/>
    <col min="5379" max="5379" width="64.85546875" style="190" customWidth="1"/>
    <col min="5380" max="5383" width="9.140625" style="190"/>
    <col min="5384" max="5384" width="14.85546875" style="190" customWidth="1"/>
    <col min="5385" max="5628" width="9.140625" style="190"/>
    <col min="5629" max="5629" width="37.7109375" style="190" customWidth="1"/>
    <col min="5630" max="5630" width="9.140625" style="190"/>
    <col min="5631" max="5631" width="12.85546875" style="190" customWidth="1"/>
    <col min="5632" max="5633" width="0" style="190" hidden="1" customWidth="1"/>
    <col min="5634" max="5634" width="18.28515625" style="190" customWidth="1"/>
    <col min="5635" max="5635" width="64.85546875" style="190" customWidth="1"/>
    <col min="5636" max="5639" width="9.140625" style="190"/>
    <col min="5640" max="5640" width="14.85546875" style="190" customWidth="1"/>
    <col min="5641" max="5884" width="9.140625" style="190"/>
    <col min="5885" max="5885" width="37.7109375" style="190" customWidth="1"/>
    <col min="5886" max="5886" width="9.140625" style="190"/>
    <col min="5887" max="5887" width="12.85546875" style="190" customWidth="1"/>
    <col min="5888" max="5889" width="0" style="190" hidden="1" customWidth="1"/>
    <col min="5890" max="5890" width="18.28515625" style="190" customWidth="1"/>
    <col min="5891" max="5891" width="64.85546875" style="190" customWidth="1"/>
    <col min="5892" max="5895" width="9.140625" style="190"/>
    <col min="5896" max="5896" width="14.85546875" style="190" customWidth="1"/>
    <col min="5897" max="6140" width="9.140625" style="190"/>
    <col min="6141" max="6141" width="37.7109375" style="190" customWidth="1"/>
    <col min="6142" max="6142" width="9.140625" style="190"/>
    <col min="6143" max="6143" width="12.85546875" style="190" customWidth="1"/>
    <col min="6144" max="6145" width="0" style="190" hidden="1" customWidth="1"/>
    <col min="6146" max="6146" width="18.28515625" style="190" customWidth="1"/>
    <col min="6147" max="6147" width="64.85546875" style="190" customWidth="1"/>
    <col min="6148" max="6151" width="9.140625" style="190"/>
    <col min="6152" max="6152" width="14.85546875" style="190" customWidth="1"/>
    <col min="6153" max="6396" width="9.140625" style="190"/>
    <col min="6397" max="6397" width="37.7109375" style="190" customWidth="1"/>
    <col min="6398" max="6398" width="9.140625" style="190"/>
    <col min="6399" max="6399" width="12.85546875" style="190" customWidth="1"/>
    <col min="6400" max="6401" width="0" style="190" hidden="1" customWidth="1"/>
    <col min="6402" max="6402" width="18.28515625" style="190" customWidth="1"/>
    <col min="6403" max="6403" width="64.85546875" style="190" customWidth="1"/>
    <col min="6404" max="6407" width="9.140625" style="190"/>
    <col min="6408" max="6408" width="14.85546875" style="190" customWidth="1"/>
    <col min="6409" max="6652" width="9.140625" style="190"/>
    <col min="6653" max="6653" width="37.7109375" style="190" customWidth="1"/>
    <col min="6654" max="6654" width="9.140625" style="190"/>
    <col min="6655" max="6655" width="12.85546875" style="190" customWidth="1"/>
    <col min="6656" max="6657" width="0" style="190" hidden="1" customWidth="1"/>
    <col min="6658" max="6658" width="18.28515625" style="190" customWidth="1"/>
    <col min="6659" max="6659" width="64.85546875" style="190" customWidth="1"/>
    <col min="6660" max="6663" width="9.140625" style="190"/>
    <col min="6664" max="6664" width="14.85546875" style="190" customWidth="1"/>
    <col min="6665" max="6908" width="9.140625" style="190"/>
    <col min="6909" max="6909" width="37.7109375" style="190" customWidth="1"/>
    <col min="6910" max="6910" width="9.140625" style="190"/>
    <col min="6911" max="6911" width="12.85546875" style="190" customWidth="1"/>
    <col min="6912" max="6913" width="0" style="190" hidden="1" customWidth="1"/>
    <col min="6914" max="6914" width="18.28515625" style="190" customWidth="1"/>
    <col min="6915" max="6915" width="64.85546875" style="190" customWidth="1"/>
    <col min="6916" max="6919" width="9.140625" style="190"/>
    <col min="6920" max="6920" width="14.85546875" style="190" customWidth="1"/>
    <col min="6921" max="7164" width="9.140625" style="190"/>
    <col min="7165" max="7165" width="37.7109375" style="190" customWidth="1"/>
    <col min="7166" max="7166" width="9.140625" style="190"/>
    <col min="7167" max="7167" width="12.85546875" style="190" customWidth="1"/>
    <col min="7168" max="7169" width="0" style="190" hidden="1" customWidth="1"/>
    <col min="7170" max="7170" width="18.28515625" style="190" customWidth="1"/>
    <col min="7171" max="7171" width="64.85546875" style="190" customWidth="1"/>
    <col min="7172" max="7175" width="9.140625" style="190"/>
    <col min="7176" max="7176" width="14.85546875" style="190" customWidth="1"/>
    <col min="7177" max="7420" width="9.140625" style="190"/>
    <col min="7421" max="7421" width="37.7109375" style="190" customWidth="1"/>
    <col min="7422" max="7422" width="9.140625" style="190"/>
    <col min="7423" max="7423" width="12.85546875" style="190" customWidth="1"/>
    <col min="7424" max="7425" width="0" style="190" hidden="1" customWidth="1"/>
    <col min="7426" max="7426" width="18.28515625" style="190" customWidth="1"/>
    <col min="7427" max="7427" width="64.85546875" style="190" customWidth="1"/>
    <col min="7428" max="7431" width="9.140625" style="190"/>
    <col min="7432" max="7432" width="14.85546875" style="190" customWidth="1"/>
    <col min="7433" max="7676" width="9.140625" style="190"/>
    <col min="7677" max="7677" width="37.7109375" style="190" customWidth="1"/>
    <col min="7678" max="7678" width="9.140625" style="190"/>
    <col min="7679" max="7679" width="12.85546875" style="190" customWidth="1"/>
    <col min="7680" max="7681" width="0" style="190" hidden="1" customWidth="1"/>
    <col min="7682" max="7682" width="18.28515625" style="190" customWidth="1"/>
    <col min="7683" max="7683" width="64.85546875" style="190" customWidth="1"/>
    <col min="7684" max="7687" width="9.140625" style="190"/>
    <col min="7688" max="7688" width="14.85546875" style="190" customWidth="1"/>
    <col min="7689" max="7932" width="9.140625" style="190"/>
    <col min="7933" max="7933" width="37.7109375" style="190" customWidth="1"/>
    <col min="7934" max="7934" width="9.140625" style="190"/>
    <col min="7935" max="7935" width="12.85546875" style="190" customWidth="1"/>
    <col min="7936" max="7937" width="0" style="190" hidden="1" customWidth="1"/>
    <col min="7938" max="7938" width="18.28515625" style="190" customWidth="1"/>
    <col min="7939" max="7939" width="64.85546875" style="190" customWidth="1"/>
    <col min="7940" max="7943" width="9.140625" style="190"/>
    <col min="7944" max="7944" width="14.85546875" style="190" customWidth="1"/>
    <col min="7945" max="8188" width="9.140625" style="190"/>
    <col min="8189" max="8189" width="37.7109375" style="190" customWidth="1"/>
    <col min="8190" max="8190" width="9.140625" style="190"/>
    <col min="8191" max="8191" width="12.85546875" style="190" customWidth="1"/>
    <col min="8192" max="8193" width="0" style="190" hidden="1" customWidth="1"/>
    <col min="8194" max="8194" width="18.28515625" style="190" customWidth="1"/>
    <col min="8195" max="8195" width="64.85546875" style="190" customWidth="1"/>
    <col min="8196" max="8199" width="9.140625" style="190"/>
    <col min="8200" max="8200" width="14.85546875" style="190" customWidth="1"/>
    <col min="8201" max="8444" width="9.140625" style="190"/>
    <col min="8445" max="8445" width="37.7109375" style="190" customWidth="1"/>
    <col min="8446" max="8446" width="9.140625" style="190"/>
    <col min="8447" max="8447" width="12.85546875" style="190" customWidth="1"/>
    <col min="8448" max="8449" width="0" style="190" hidden="1" customWidth="1"/>
    <col min="8450" max="8450" width="18.28515625" style="190" customWidth="1"/>
    <col min="8451" max="8451" width="64.85546875" style="190" customWidth="1"/>
    <col min="8452" max="8455" width="9.140625" style="190"/>
    <col min="8456" max="8456" width="14.85546875" style="190" customWidth="1"/>
    <col min="8457" max="8700" width="9.140625" style="190"/>
    <col min="8701" max="8701" width="37.7109375" style="190" customWidth="1"/>
    <col min="8702" max="8702" width="9.140625" style="190"/>
    <col min="8703" max="8703" width="12.85546875" style="190" customWidth="1"/>
    <col min="8704" max="8705" width="0" style="190" hidden="1" customWidth="1"/>
    <col min="8706" max="8706" width="18.28515625" style="190" customWidth="1"/>
    <col min="8707" max="8707" width="64.85546875" style="190" customWidth="1"/>
    <col min="8708" max="8711" width="9.140625" style="190"/>
    <col min="8712" max="8712" width="14.85546875" style="190" customWidth="1"/>
    <col min="8713" max="8956" width="9.140625" style="190"/>
    <col min="8957" max="8957" width="37.7109375" style="190" customWidth="1"/>
    <col min="8958" max="8958" width="9.140625" style="190"/>
    <col min="8959" max="8959" width="12.85546875" style="190" customWidth="1"/>
    <col min="8960" max="8961" width="0" style="190" hidden="1" customWidth="1"/>
    <col min="8962" max="8962" width="18.28515625" style="190" customWidth="1"/>
    <col min="8963" max="8963" width="64.85546875" style="190" customWidth="1"/>
    <col min="8964" max="8967" width="9.140625" style="190"/>
    <col min="8968" max="8968" width="14.85546875" style="190" customWidth="1"/>
    <col min="8969" max="9212" width="9.140625" style="190"/>
    <col min="9213" max="9213" width="37.7109375" style="190" customWidth="1"/>
    <col min="9214" max="9214" width="9.140625" style="190"/>
    <col min="9215" max="9215" width="12.85546875" style="190" customWidth="1"/>
    <col min="9216" max="9217" width="0" style="190" hidden="1" customWidth="1"/>
    <col min="9218" max="9218" width="18.28515625" style="190" customWidth="1"/>
    <col min="9219" max="9219" width="64.85546875" style="190" customWidth="1"/>
    <col min="9220" max="9223" width="9.140625" style="190"/>
    <col min="9224" max="9224" width="14.85546875" style="190" customWidth="1"/>
    <col min="9225" max="9468" width="9.140625" style="190"/>
    <col min="9469" max="9469" width="37.7109375" style="190" customWidth="1"/>
    <col min="9470" max="9470" width="9.140625" style="190"/>
    <col min="9471" max="9471" width="12.85546875" style="190" customWidth="1"/>
    <col min="9472" max="9473" width="0" style="190" hidden="1" customWidth="1"/>
    <col min="9474" max="9474" width="18.28515625" style="190" customWidth="1"/>
    <col min="9475" max="9475" width="64.85546875" style="190" customWidth="1"/>
    <col min="9476" max="9479" width="9.140625" style="190"/>
    <col min="9480" max="9480" width="14.85546875" style="190" customWidth="1"/>
    <col min="9481" max="9724" width="9.140625" style="190"/>
    <col min="9725" max="9725" width="37.7109375" style="190" customWidth="1"/>
    <col min="9726" max="9726" width="9.140625" style="190"/>
    <col min="9727" max="9727" width="12.85546875" style="190" customWidth="1"/>
    <col min="9728" max="9729" width="0" style="190" hidden="1" customWidth="1"/>
    <col min="9730" max="9730" width="18.28515625" style="190" customWidth="1"/>
    <col min="9731" max="9731" width="64.85546875" style="190" customWidth="1"/>
    <col min="9732" max="9735" width="9.140625" style="190"/>
    <col min="9736" max="9736" width="14.85546875" style="190" customWidth="1"/>
    <col min="9737" max="9980" width="9.140625" style="190"/>
    <col min="9981" max="9981" width="37.7109375" style="190" customWidth="1"/>
    <col min="9982" max="9982" width="9.140625" style="190"/>
    <col min="9983" max="9983" width="12.85546875" style="190" customWidth="1"/>
    <col min="9984" max="9985" width="0" style="190" hidden="1" customWidth="1"/>
    <col min="9986" max="9986" width="18.28515625" style="190" customWidth="1"/>
    <col min="9987" max="9987" width="64.85546875" style="190" customWidth="1"/>
    <col min="9988" max="9991" width="9.140625" style="190"/>
    <col min="9992" max="9992" width="14.85546875" style="190" customWidth="1"/>
    <col min="9993" max="10236" width="9.140625" style="190"/>
    <col min="10237" max="10237" width="37.7109375" style="190" customWidth="1"/>
    <col min="10238" max="10238" width="9.140625" style="190"/>
    <col min="10239" max="10239" width="12.85546875" style="190" customWidth="1"/>
    <col min="10240" max="10241" width="0" style="190" hidden="1" customWidth="1"/>
    <col min="10242" max="10242" width="18.28515625" style="190" customWidth="1"/>
    <col min="10243" max="10243" width="64.85546875" style="190" customWidth="1"/>
    <col min="10244" max="10247" width="9.140625" style="190"/>
    <col min="10248" max="10248" width="14.85546875" style="190" customWidth="1"/>
    <col min="10249" max="10492" width="9.140625" style="190"/>
    <col min="10493" max="10493" width="37.7109375" style="190" customWidth="1"/>
    <col min="10494" max="10494" width="9.140625" style="190"/>
    <col min="10495" max="10495" width="12.85546875" style="190" customWidth="1"/>
    <col min="10496" max="10497" width="0" style="190" hidden="1" customWidth="1"/>
    <col min="10498" max="10498" width="18.28515625" style="190" customWidth="1"/>
    <col min="10499" max="10499" width="64.85546875" style="190" customWidth="1"/>
    <col min="10500" max="10503" width="9.140625" style="190"/>
    <col min="10504" max="10504" width="14.85546875" style="190" customWidth="1"/>
    <col min="10505" max="10748" width="9.140625" style="190"/>
    <col min="10749" max="10749" width="37.7109375" style="190" customWidth="1"/>
    <col min="10750" max="10750" width="9.140625" style="190"/>
    <col min="10751" max="10751" width="12.85546875" style="190" customWidth="1"/>
    <col min="10752" max="10753" width="0" style="190" hidden="1" customWidth="1"/>
    <col min="10754" max="10754" width="18.28515625" style="190" customWidth="1"/>
    <col min="10755" max="10755" width="64.85546875" style="190" customWidth="1"/>
    <col min="10756" max="10759" width="9.140625" style="190"/>
    <col min="10760" max="10760" width="14.85546875" style="190" customWidth="1"/>
    <col min="10761" max="11004" width="9.140625" style="190"/>
    <col min="11005" max="11005" width="37.7109375" style="190" customWidth="1"/>
    <col min="11006" max="11006" width="9.140625" style="190"/>
    <col min="11007" max="11007" width="12.85546875" style="190" customWidth="1"/>
    <col min="11008" max="11009" width="0" style="190" hidden="1" customWidth="1"/>
    <col min="11010" max="11010" width="18.28515625" style="190" customWidth="1"/>
    <col min="11011" max="11011" width="64.85546875" style="190" customWidth="1"/>
    <col min="11012" max="11015" width="9.140625" style="190"/>
    <col min="11016" max="11016" width="14.85546875" style="190" customWidth="1"/>
    <col min="11017" max="11260" width="9.140625" style="190"/>
    <col min="11261" max="11261" width="37.7109375" style="190" customWidth="1"/>
    <col min="11262" max="11262" width="9.140625" style="190"/>
    <col min="11263" max="11263" width="12.85546875" style="190" customWidth="1"/>
    <col min="11264" max="11265" width="0" style="190" hidden="1" customWidth="1"/>
    <col min="11266" max="11266" width="18.28515625" style="190" customWidth="1"/>
    <col min="11267" max="11267" width="64.85546875" style="190" customWidth="1"/>
    <col min="11268" max="11271" width="9.140625" style="190"/>
    <col min="11272" max="11272" width="14.85546875" style="190" customWidth="1"/>
    <col min="11273" max="11516" width="9.140625" style="190"/>
    <col min="11517" max="11517" width="37.7109375" style="190" customWidth="1"/>
    <col min="11518" max="11518" width="9.140625" style="190"/>
    <col min="11519" max="11519" width="12.85546875" style="190" customWidth="1"/>
    <col min="11520" max="11521" width="0" style="190" hidden="1" customWidth="1"/>
    <col min="11522" max="11522" width="18.28515625" style="190" customWidth="1"/>
    <col min="11523" max="11523" width="64.85546875" style="190" customWidth="1"/>
    <col min="11524" max="11527" width="9.140625" style="190"/>
    <col min="11528" max="11528" width="14.85546875" style="190" customWidth="1"/>
    <col min="11529" max="11772" width="9.140625" style="190"/>
    <col min="11773" max="11773" width="37.7109375" style="190" customWidth="1"/>
    <col min="11774" max="11774" width="9.140625" style="190"/>
    <col min="11775" max="11775" width="12.85546875" style="190" customWidth="1"/>
    <col min="11776" max="11777" width="0" style="190" hidden="1" customWidth="1"/>
    <col min="11778" max="11778" width="18.28515625" style="190" customWidth="1"/>
    <col min="11779" max="11779" width="64.85546875" style="190" customWidth="1"/>
    <col min="11780" max="11783" width="9.140625" style="190"/>
    <col min="11784" max="11784" width="14.85546875" style="190" customWidth="1"/>
    <col min="11785" max="12028" width="9.140625" style="190"/>
    <col min="12029" max="12029" width="37.7109375" style="190" customWidth="1"/>
    <col min="12030" max="12030" width="9.140625" style="190"/>
    <col min="12031" max="12031" width="12.85546875" style="190" customWidth="1"/>
    <col min="12032" max="12033" width="0" style="190" hidden="1" customWidth="1"/>
    <col min="12034" max="12034" width="18.28515625" style="190" customWidth="1"/>
    <col min="12035" max="12035" width="64.85546875" style="190" customWidth="1"/>
    <col min="12036" max="12039" width="9.140625" style="190"/>
    <col min="12040" max="12040" width="14.85546875" style="190" customWidth="1"/>
    <col min="12041" max="12284" width="9.140625" style="190"/>
    <col min="12285" max="12285" width="37.7109375" style="190" customWidth="1"/>
    <col min="12286" max="12286" width="9.140625" style="190"/>
    <col min="12287" max="12287" width="12.85546875" style="190" customWidth="1"/>
    <col min="12288" max="12289" width="0" style="190" hidden="1" customWidth="1"/>
    <col min="12290" max="12290" width="18.28515625" style="190" customWidth="1"/>
    <col min="12291" max="12291" width="64.85546875" style="190" customWidth="1"/>
    <col min="12292" max="12295" width="9.140625" style="190"/>
    <col min="12296" max="12296" width="14.85546875" style="190" customWidth="1"/>
    <col min="12297" max="12540" width="9.140625" style="190"/>
    <col min="12541" max="12541" width="37.7109375" style="190" customWidth="1"/>
    <col min="12542" max="12542" width="9.140625" style="190"/>
    <col min="12543" max="12543" width="12.85546875" style="190" customWidth="1"/>
    <col min="12544" max="12545" width="0" style="190" hidden="1" customWidth="1"/>
    <col min="12546" max="12546" width="18.28515625" style="190" customWidth="1"/>
    <col min="12547" max="12547" width="64.85546875" style="190" customWidth="1"/>
    <col min="12548" max="12551" width="9.140625" style="190"/>
    <col min="12552" max="12552" width="14.85546875" style="190" customWidth="1"/>
    <col min="12553" max="12796" width="9.140625" style="190"/>
    <col min="12797" max="12797" width="37.7109375" style="190" customWidth="1"/>
    <col min="12798" max="12798" width="9.140625" style="190"/>
    <col min="12799" max="12799" width="12.85546875" style="190" customWidth="1"/>
    <col min="12800" max="12801" width="0" style="190" hidden="1" customWidth="1"/>
    <col min="12802" max="12802" width="18.28515625" style="190" customWidth="1"/>
    <col min="12803" max="12803" width="64.85546875" style="190" customWidth="1"/>
    <col min="12804" max="12807" width="9.140625" style="190"/>
    <col min="12808" max="12808" width="14.85546875" style="190" customWidth="1"/>
    <col min="12809" max="13052" width="9.140625" style="190"/>
    <col min="13053" max="13053" width="37.7109375" style="190" customWidth="1"/>
    <col min="13054" max="13054" width="9.140625" style="190"/>
    <col min="13055" max="13055" width="12.85546875" style="190" customWidth="1"/>
    <col min="13056" max="13057" width="0" style="190" hidden="1" customWidth="1"/>
    <col min="13058" max="13058" width="18.28515625" style="190" customWidth="1"/>
    <col min="13059" max="13059" width="64.85546875" style="190" customWidth="1"/>
    <col min="13060" max="13063" width="9.140625" style="190"/>
    <col min="13064" max="13064" width="14.85546875" style="190" customWidth="1"/>
    <col min="13065" max="13308" width="9.140625" style="190"/>
    <col min="13309" max="13309" width="37.7109375" style="190" customWidth="1"/>
    <col min="13310" max="13310" width="9.140625" style="190"/>
    <col min="13311" max="13311" width="12.85546875" style="190" customWidth="1"/>
    <col min="13312" max="13313" width="0" style="190" hidden="1" customWidth="1"/>
    <col min="13314" max="13314" width="18.28515625" style="190" customWidth="1"/>
    <col min="13315" max="13315" width="64.85546875" style="190" customWidth="1"/>
    <col min="13316" max="13319" width="9.140625" style="190"/>
    <col min="13320" max="13320" width="14.85546875" style="190" customWidth="1"/>
    <col min="13321" max="13564" width="9.140625" style="190"/>
    <col min="13565" max="13565" width="37.7109375" style="190" customWidth="1"/>
    <col min="13566" max="13566" width="9.140625" style="190"/>
    <col min="13567" max="13567" width="12.85546875" style="190" customWidth="1"/>
    <col min="13568" max="13569" width="0" style="190" hidden="1" customWidth="1"/>
    <col min="13570" max="13570" width="18.28515625" style="190" customWidth="1"/>
    <col min="13571" max="13571" width="64.85546875" style="190" customWidth="1"/>
    <col min="13572" max="13575" width="9.140625" style="190"/>
    <col min="13576" max="13576" width="14.85546875" style="190" customWidth="1"/>
    <col min="13577" max="13820" width="9.140625" style="190"/>
    <col min="13821" max="13821" width="37.7109375" style="190" customWidth="1"/>
    <col min="13822" max="13822" width="9.140625" style="190"/>
    <col min="13823" max="13823" width="12.85546875" style="190" customWidth="1"/>
    <col min="13824" max="13825" width="0" style="190" hidden="1" customWidth="1"/>
    <col min="13826" max="13826" width="18.28515625" style="190" customWidth="1"/>
    <col min="13827" max="13827" width="64.85546875" style="190" customWidth="1"/>
    <col min="13828" max="13831" width="9.140625" style="190"/>
    <col min="13832" max="13832" width="14.85546875" style="190" customWidth="1"/>
    <col min="13833" max="14076" width="9.140625" style="190"/>
    <col min="14077" max="14077" width="37.7109375" style="190" customWidth="1"/>
    <col min="14078" max="14078" width="9.140625" style="190"/>
    <col min="14079" max="14079" width="12.85546875" style="190" customWidth="1"/>
    <col min="14080" max="14081" width="0" style="190" hidden="1" customWidth="1"/>
    <col min="14082" max="14082" width="18.28515625" style="190" customWidth="1"/>
    <col min="14083" max="14083" width="64.85546875" style="190" customWidth="1"/>
    <col min="14084" max="14087" width="9.140625" style="190"/>
    <col min="14088" max="14088" width="14.85546875" style="190" customWidth="1"/>
    <col min="14089" max="14332" width="9.140625" style="190"/>
    <col min="14333" max="14333" width="37.7109375" style="190" customWidth="1"/>
    <col min="14334" max="14334" width="9.140625" style="190"/>
    <col min="14335" max="14335" width="12.85546875" style="190" customWidth="1"/>
    <col min="14336" max="14337" width="0" style="190" hidden="1" customWidth="1"/>
    <col min="14338" max="14338" width="18.28515625" style="190" customWidth="1"/>
    <col min="14339" max="14339" width="64.85546875" style="190" customWidth="1"/>
    <col min="14340" max="14343" width="9.140625" style="190"/>
    <col min="14344" max="14344" width="14.85546875" style="190" customWidth="1"/>
    <col min="14345" max="14588" width="9.140625" style="190"/>
    <col min="14589" max="14589" width="37.7109375" style="190" customWidth="1"/>
    <col min="14590" max="14590" width="9.140625" style="190"/>
    <col min="14591" max="14591" width="12.85546875" style="190" customWidth="1"/>
    <col min="14592" max="14593" width="0" style="190" hidden="1" customWidth="1"/>
    <col min="14594" max="14594" width="18.28515625" style="190" customWidth="1"/>
    <col min="14595" max="14595" width="64.85546875" style="190" customWidth="1"/>
    <col min="14596" max="14599" width="9.140625" style="190"/>
    <col min="14600" max="14600" width="14.85546875" style="190" customWidth="1"/>
    <col min="14601" max="14844" width="9.140625" style="190"/>
    <col min="14845" max="14845" width="37.7109375" style="190" customWidth="1"/>
    <col min="14846" max="14846" width="9.140625" style="190"/>
    <col min="14847" max="14847" width="12.85546875" style="190" customWidth="1"/>
    <col min="14848" max="14849" width="0" style="190" hidden="1" customWidth="1"/>
    <col min="14850" max="14850" width="18.28515625" style="190" customWidth="1"/>
    <col min="14851" max="14851" width="64.85546875" style="190" customWidth="1"/>
    <col min="14852" max="14855" width="9.140625" style="190"/>
    <col min="14856" max="14856" width="14.85546875" style="190" customWidth="1"/>
    <col min="14857" max="15100" width="9.140625" style="190"/>
    <col min="15101" max="15101" width="37.7109375" style="190" customWidth="1"/>
    <col min="15102" max="15102" width="9.140625" style="190"/>
    <col min="15103" max="15103" width="12.85546875" style="190" customWidth="1"/>
    <col min="15104" max="15105" width="0" style="190" hidden="1" customWidth="1"/>
    <col min="15106" max="15106" width="18.28515625" style="190" customWidth="1"/>
    <col min="15107" max="15107" width="64.85546875" style="190" customWidth="1"/>
    <col min="15108" max="15111" width="9.140625" style="190"/>
    <col min="15112" max="15112" width="14.85546875" style="190" customWidth="1"/>
    <col min="15113" max="15356" width="9.140625" style="190"/>
    <col min="15357" max="15357" width="37.7109375" style="190" customWidth="1"/>
    <col min="15358" max="15358" width="9.140625" style="190"/>
    <col min="15359" max="15359" width="12.85546875" style="190" customWidth="1"/>
    <col min="15360" max="15361" width="0" style="190" hidden="1" customWidth="1"/>
    <col min="15362" max="15362" width="18.28515625" style="190" customWidth="1"/>
    <col min="15363" max="15363" width="64.85546875" style="190" customWidth="1"/>
    <col min="15364" max="15367" width="9.140625" style="190"/>
    <col min="15368" max="15368" width="14.85546875" style="190" customWidth="1"/>
    <col min="15369" max="15612" width="9.140625" style="190"/>
    <col min="15613" max="15613" width="37.7109375" style="190" customWidth="1"/>
    <col min="15614" max="15614" width="9.140625" style="190"/>
    <col min="15615" max="15615" width="12.85546875" style="190" customWidth="1"/>
    <col min="15616" max="15617" width="0" style="190" hidden="1" customWidth="1"/>
    <col min="15618" max="15618" width="18.28515625" style="190" customWidth="1"/>
    <col min="15619" max="15619" width="64.85546875" style="190" customWidth="1"/>
    <col min="15620" max="15623" width="9.140625" style="190"/>
    <col min="15624" max="15624" width="14.85546875" style="190" customWidth="1"/>
    <col min="15625" max="15868" width="9.140625" style="190"/>
    <col min="15869" max="15869" width="37.7109375" style="190" customWidth="1"/>
    <col min="15870" max="15870" width="9.140625" style="190"/>
    <col min="15871" max="15871" width="12.85546875" style="190" customWidth="1"/>
    <col min="15872" max="15873" width="0" style="190" hidden="1" customWidth="1"/>
    <col min="15874" max="15874" width="18.28515625" style="190" customWidth="1"/>
    <col min="15875" max="15875" width="64.85546875" style="190" customWidth="1"/>
    <col min="15876" max="15879" width="9.140625" style="190"/>
    <col min="15880" max="15880" width="14.85546875" style="190" customWidth="1"/>
    <col min="15881" max="16124" width="9.140625" style="190"/>
    <col min="16125" max="16125" width="37.7109375" style="190" customWidth="1"/>
    <col min="16126" max="16126" width="9.140625" style="190"/>
    <col min="16127" max="16127" width="12.85546875" style="190" customWidth="1"/>
    <col min="16128" max="16129" width="0" style="190" hidden="1" customWidth="1"/>
    <col min="16130" max="16130" width="18.28515625" style="190" customWidth="1"/>
    <col min="16131" max="16131" width="64.85546875" style="190" customWidth="1"/>
    <col min="16132" max="16135" width="9.140625" style="190"/>
    <col min="16136" max="16136" width="14.85546875" style="190" customWidth="1"/>
    <col min="16137" max="16384" width="9.140625" style="190"/>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09" t="str">
        <f>'2. паспорт  ТП'!A4:S4</f>
        <v>Год раскрытия информации: 2025 год</v>
      </c>
      <c r="B5" s="309"/>
      <c r="C5" s="309"/>
      <c r="D5" s="309"/>
      <c r="E5" s="309"/>
      <c r="F5" s="309"/>
      <c r="G5" s="309"/>
      <c r="H5" s="309"/>
      <c r="I5" s="309"/>
      <c r="J5" s="309"/>
      <c r="K5" s="309"/>
      <c r="L5" s="309"/>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5"/>
    </row>
    <row r="7" spans="1:44" ht="18.75" x14ac:dyDescent="0.25">
      <c r="A7" s="310" t="s">
        <v>4</v>
      </c>
      <c r="B7" s="310"/>
      <c r="C7" s="310"/>
      <c r="D7" s="310"/>
      <c r="E7" s="310"/>
      <c r="F7" s="310"/>
      <c r="G7" s="310"/>
      <c r="H7" s="310"/>
      <c r="I7" s="310"/>
      <c r="J7" s="310"/>
      <c r="K7" s="310"/>
      <c r="L7" s="310"/>
    </row>
    <row r="8" spans="1:44" ht="18.75" x14ac:dyDescent="0.25">
      <c r="A8" s="310"/>
      <c r="B8" s="310"/>
      <c r="C8" s="310"/>
      <c r="D8" s="310"/>
      <c r="E8" s="310"/>
      <c r="F8" s="310"/>
      <c r="G8" s="310"/>
      <c r="H8" s="310"/>
      <c r="I8" s="310"/>
      <c r="J8" s="310"/>
      <c r="K8" s="310"/>
      <c r="L8" s="310"/>
    </row>
    <row r="9" spans="1:44" x14ac:dyDescent="0.25">
      <c r="A9" s="322" t="str">
        <f>'1. паспорт местоположение'!A9:C9</f>
        <v>Акционерное общество "Россети Янтарь" ДЗО  ПАО "Россети"</v>
      </c>
      <c r="B9" s="322"/>
      <c r="C9" s="322"/>
      <c r="D9" s="322"/>
      <c r="E9" s="322"/>
      <c r="F9" s="322"/>
      <c r="G9" s="322"/>
      <c r="H9" s="322"/>
      <c r="I9" s="322"/>
      <c r="J9" s="322"/>
      <c r="K9" s="322"/>
      <c r="L9" s="322"/>
    </row>
    <row r="10" spans="1:44" x14ac:dyDescent="0.25">
      <c r="A10" s="312" t="s">
        <v>6</v>
      </c>
      <c r="B10" s="312"/>
      <c r="C10" s="312"/>
      <c r="D10" s="312"/>
      <c r="E10" s="312"/>
      <c r="F10" s="312"/>
      <c r="G10" s="312"/>
      <c r="H10" s="312"/>
      <c r="I10" s="312"/>
      <c r="J10" s="312"/>
      <c r="K10" s="312"/>
      <c r="L10" s="312"/>
    </row>
    <row r="11" spans="1:44" ht="18.75" x14ac:dyDescent="0.25">
      <c r="A11" s="310"/>
      <c r="B11" s="310"/>
      <c r="C11" s="310"/>
      <c r="D11" s="310"/>
      <c r="E11" s="310"/>
      <c r="F11" s="310"/>
      <c r="G11" s="310"/>
      <c r="H11" s="310"/>
      <c r="I11" s="310"/>
      <c r="J11" s="310"/>
      <c r="K11" s="310"/>
      <c r="L11" s="310"/>
    </row>
    <row r="12" spans="1:44" x14ac:dyDescent="0.25">
      <c r="A12" s="322" t="str">
        <f>'1. паспорт местоположение'!A12:C12</f>
        <v>H_16-0403</v>
      </c>
      <c r="B12" s="322"/>
      <c r="C12" s="322"/>
      <c r="D12" s="322"/>
      <c r="E12" s="322"/>
      <c r="F12" s="322"/>
      <c r="G12" s="322"/>
      <c r="H12" s="322"/>
      <c r="I12" s="322"/>
      <c r="J12" s="322"/>
      <c r="K12" s="322"/>
      <c r="L12" s="322"/>
    </row>
    <row r="13" spans="1:44" x14ac:dyDescent="0.25">
      <c r="A13" s="312" t="s">
        <v>8</v>
      </c>
      <c r="B13" s="312"/>
      <c r="C13" s="312"/>
      <c r="D13" s="312"/>
      <c r="E13" s="312"/>
      <c r="F13" s="312"/>
      <c r="G13" s="312"/>
      <c r="H13" s="312"/>
      <c r="I13" s="312"/>
      <c r="J13" s="312"/>
      <c r="K13" s="312"/>
      <c r="L13" s="312"/>
    </row>
    <row r="14" spans="1:44" ht="18.75" x14ac:dyDescent="0.25">
      <c r="A14" s="323"/>
      <c r="B14" s="323"/>
      <c r="C14" s="323"/>
      <c r="D14" s="323"/>
      <c r="E14" s="323"/>
      <c r="F14" s="323"/>
      <c r="G14" s="323"/>
      <c r="H14" s="323"/>
      <c r="I14" s="323"/>
      <c r="J14" s="323"/>
      <c r="K14" s="323"/>
      <c r="L14" s="323"/>
    </row>
    <row r="15" spans="1:44" x14ac:dyDescent="0.25">
      <c r="A15" s="322"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322"/>
      <c r="C15" s="322"/>
      <c r="D15" s="322"/>
      <c r="E15" s="322"/>
      <c r="F15" s="322"/>
      <c r="G15" s="322"/>
      <c r="H15" s="322"/>
      <c r="I15" s="322"/>
      <c r="J15" s="322"/>
      <c r="K15" s="322"/>
      <c r="L15" s="322"/>
    </row>
    <row r="16" spans="1:44" x14ac:dyDescent="0.25">
      <c r="A16" s="312" t="s">
        <v>10</v>
      </c>
      <c r="B16" s="312"/>
      <c r="C16" s="312"/>
      <c r="D16" s="312"/>
      <c r="E16" s="312"/>
      <c r="F16" s="312"/>
      <c r="G16" s="312"/>
      <c r="H16" s="312"/>
      <c r="I16" s="312"/>
      <c r="J16" s="312"/>
      <c r="K16" s="312"/>
      <c r="L16" s="312"/>
    </row>
    <row r="17" spans="1:12" ht="15.75" customHeight="1" x14ac:dyDescent="0.25">
      <c r="L17" s="191"/>
    </row>
    <row r="18" spans="1:12" x14ac:dyDescent="0.25">
      <c r="K18" s="192"/>
    </row>
    <row r="19" spans="1:12" ht="15.75" customHeight="1" x14ac:dyDescent="0.25">
      <c r="A19" s="373" t="s">
        <v>317</v>
      </c>
      <c r="B19" s="373"/>
      <c r="C19" s="373"/>
      <c r="D19" s="373"/>
      <c r="E19" s="373"/>
      <c r="F19" s="373"/>
      <c r="G19" s="373"/>
      <c r="H19" s="373"/>
      <c r="I19" s="373"/>
      <c r="J19" s="373"/>
      <c r="K19" s="373"/>
      <c r="L19" s="373"/>
    </row>
    <row r="20" spans="1:12" x14ac:dyDescent="0.25">
      <c r="A20" s="193"/>
      <c r="B20" s="193"/>
    </row>
    <row r="21" spans="1:12" ht="28.5" customHeight="1" x14ac:dyDescent="0.25">
      <c r="A21" s="374" t="s">
        <v>318</v>
      </c>
      <c r="B21" s="374" t="s">
        <v>319</v>
      </c>
      <c r="C21" s="375" t="s">
        <v>320</v>
      </c>
      <c r="D21" s="375"/>
      <c r="E21" s="375"/>
      <c r="F21" s="375"/>
      <c r="G21" s="375"/>
      <c r="H21" s="375"/>
      <c r="I21" s="374" t="s">
        <v>321</v>
      </c>
      <c r="J21" s="376" t="s">
        <v>322</v>
      </c>
      <c r="K21" s="374" t="s">
        <v>323</v>
      </c>
      <c r="L21" s="379" t="s">
        <v>324</v>
      </c>
    </row>
    <row r="22" spans="1:12" ht="58.5" customHeight="1" x14ac:dyDescent="0.25">
      <c r="A22" s="374"/>
      <c r="B22" s="374"/>
      <c r="C22" s="374" t="s">
        <v>325</v>
      </c>
      <c r="D22" s="374"/>
      <c r="E22" s="374" t="s">
        <v>326</v>
      </c>
      <c r="F22" s="374"/>
      <c r="G22" s="374" t="s">
        <v>327</v>
      </c>
      <c r="H22" s="374"/>
      <c r="I22" s="374"/>
      <c r="J22" s="377"/>
      <c r="K22" s="374"/>
      <c r="L22" s="379"/>
    </row>
    <row r="23" spans="1:12" ht="31.5" x14ac:dyDescent="0.25">
      <c r="A23" s="374"/>
      <c r="B23" s="374"/>
      <c r="C23" s="196" t="s">
        <v>328</v>
      </c>
      <c r="D23" s="196" t="s">
        <v>329</v>
      </c>
      <c r="E23" s="196" t="s">
        <v>328</v>
      </c>
      <c r="F23" s="196" t="s">
        <v>329</v>
      </c>
      <c r="G23" s="196" t="s">
        <v>328</v>
      </c>
      <c r="H23" s="196" t="s">
        <v>329</v>
      </c>
      <c r="I23" s="374"/>
      <c r="J23" s="378"/>
      <c r="K23" s="374"/>
      <c r="L23" s="379"/>
    </row>
    <row r="24" spans="1:12" x14ac:dyDescent="0.25">
      <c r="A24" s="194">
        <v>1</v>
      </c>
      <c r="B24" s="194">
        <v>2</v>
      </c>
      <c r="C24" s="196">
        <v>3</v>
      </c>
      <c r="D24" s="196">
        <v>4</v>
      </c>
      <c r="E24" s="196">
        <v>5</v>
      </c>
      <c r="F24" s="196">
        <v>6</v>
      </c>
      <c r="G24" s="196">
        <v>7</v>
      </c>
      <c r="H24" s="196">
        <v>8</v>
      </c>
      <c r="I24" s="196">
        <v>9</v>
      </c>
      <c r="J24" s="196">
        <v>10</v>
      </c>
      <c r="K24" s="196">
        <v>11</v>
      </c>
      <c r="L24" s="196">
        <v>12</v>
      </c>
    </row>
    <row r="25" spans="1:12" ht="31.5" x14ac:dyDescent="0.25">
      <c r="A25" s="196">
        <v>1</v>
      </c>
      <c r="B25" s="197" t="s">
        <v>330</v>
      </c>
      <c r="C25" s="198"/>
      <c r="D25" s="198"/>
      <c r="E25" s="198"/>
      <c r="F25" s="198"/>
      <c r="G25" s="198"/>
      <c r="H25" s="198"/>
      <c r="I25" s="198"/>
      <c r="J25" s="198"/>
      <c r="K25" s="199"/>
      <c r="L25" s="200"/>
    </row>
    <row r="26" spans="1:12" ht="21.75" customHeight="1" x14ac:dyDescent="0.25">
      <c r="A26" s="196" t="s">
        <v>331</v>
      </c>
      <c r="B26" s="201" t="s">
        <v>332</v>
      </c>
      <c r="C26" s="202" t="s">
        <v>32</v>
      </c>
      <c r="D26" s="202" t="s">
        <v>32</v>
      </c>
      <c r="E26" s="202" t="s">
        <v>32</v>
      </c>
      <c r="F26" s="202" t="s">
        <v>32</v>
      </c>
      <c r="G26" s="202" t="s">
        <v>32</v>
      </c>
      <c r="H26" s="202" t="s">
        <v>32</v>
      </c>
      <c r="I26" s="203"/>
      <c r="J26" s="198"/>
      <c r="K26" s="199"/>
      <c r="L26" s="199"/>
    </row>
    <row r="27" spans="1:12" ht="39" customHeight="1" x14ac:dyDescent="0.25">
      <c r="A27" s="196" t="s">
        <v>333</v>
      </c>
      <c r="B27" s="201" t="s">
        <v>334</v>
      </c>
      <c r="C27" s="202" t="s">
        <v>32</v>
      </c>
      <c r="D27" s="202" t="s">
        <v>32</v>
      </c>
      <c r="E27" s="202" t="s">
        <v>32</v>
      </c>
      <c r="F27" s="202" t="s">
        <v>32</v>
      </c>
      <c r="G27" s="202" t="s">
        <v>32</v>
      </c>
      <c r="H27" s="202" t="s">
        <v>32</v>
      </c>
      <c r="I27" s="203"/>
      <c r="J27" s="198"/>
      <c r="K27" s="199"/>
      <c r="L27" s="199"/>
    </row>
    <row r="28" spans="1:12" ht="70.5" customHeight="1" x14ac:dyDescent="0.25">
      <c r="A28" s="196" t="s">
        <v>335</v>
      </c>
      <c r="B28" s="201" t="s">
        <v>336</v>
      </c>
      <c r="C28" s="202" t="s">
        <v>32</v>
      </c>
      <c r="D28" s="202" t="s">
        <v>32</v>
      </c>
      <c r="E28" s="202" t="s">
        <v>32</v>
      </c>
      <c r="F28" s="202" t="s">
        <v>32</v>
      </c>
      <c r="G28" s="202" t="s">
        <v>32</v>
      </c>
      <c r="H28" s="202" t="s">
        <v>32</v>
      </c>
      <c r="I28" s="203"/>
      <c r="J28" s="198"/>
      <c r="K28" s="199"/>
      <c r="L28" s="199"/>
    </row>
    <row r="29" spans="1:12" ht="54" customHeight="1" x14ac:dyDescent="0.25">
      <c r="A29" s="196" t="s">
        <v>337</v>
      </c>
      <c r="B29" s="201" t="s">
        <v>338</v>
      </c>
      <c r="C29" s="202" t="s">
        <v>32</v>
      </c>
      <c r="D29" s="202" t="s">
        <v>32</v>
      </c>
      <c r="E29" s="202" t="s">
        <v>32</v>
      </c>
      <c r="F29" s="202" t="s">
        <v>32</v>
      </c>
      <c r="G29" s="202" t="s">
        <v>32</v>
      </c>
      <c r="H29" s="202" t="s">
        <v>32</v>
      </c>
      <c r="I29" s="203"/>
      <c r="J29" s="198"/>
      <c r="K29" s="199"/>
      <c r="L29" s="199"/>
    </row>
    <row r="30" spans="1:12" ht="42" customHeight="1" x14ac:dyDescent="0.25">
      <c r="A30" s="196" t="s">
        <v>339</v>
      </c>
      <c r="B30" s="201" t="s">
        <v>340</v>
      </c>
      <c r="C30" s="202" t="s">
        <v>32</v>
      </c>
      <c r="D30" s="202" t="s">
        <v>32</v>
      </c>
      <c r="E30" s="202" t="s">
        <v>32</v>
      </c>
      <c r="F30" s="202" t="s">
        <v>32</v>
      </c>
      <c r="G30" s="202" t="s">
        <v>32</v>
      </c>
      <c r="H30" s="202" t="s">
        <v>32</v>
      </c>
      <c r="I30" s="203"/>
      <c r="J30" s="198"/>
      <c r="K30" s="199"/>
      <c r="L30" s="199"/>
    </row>
    <row r="31" spans="1:12" ht="37.5" customHeight="1" x14ac:dyDescent="0.25">
      <c r="A31" s="196" t="s">
        <v>341</v>
      </c>
      <c r="B31" s="204" t="s">
        <v>342</v>
      </c>
      <c r="C31" s="202" t="s">
        <v>343</v>
      </c>
      <c r="D31" s="202" t="s">
        <v>343</v>
      </c>
      <c r="E31" s="202" t="s">
        <v>343</v>
      </c>
      <c r="F31" s="202" t="s">
        <v>343</v>
      </c>
      <c r="G31" s="202" t="s">
        <v>343</v>
      </c>
      <c r="H31" s="202" t="s">
        <v>343</v>
      </c>
      <c r="I31" s="203">
        <v>100</v>
      </c>
      <c r="J31" s="198"/>
      <c r="K31" s="199"/>
      <c r="L31" s="199"/>
    </row>
    <row r="32" spans="1:12" ht="31.5" x14ac:dyDescent="0.25">
      <c r="A32" s="196" t="s">
        <v>344</v>
      </c>
      <c r="B32" s="204" t="s">
        <v>345</v>
      </c>
      <c r="C32" s="205">
        <v>43598</v>
      </c>
      <c r="D32" s="205">
        <v>43598</v>
      </c>
      <c r="E32" s="205">
        <v>43598</v>
      </c>
      <c r="F32" s="205">
        <v>43598</v>
      </c>
      <c r="G32" s="205">
        <v>43598</v>
      </c>
      <c r="H32" s="205">
        <v>43598</v>
      </c>
      <c r="I32" s="203">
        <v>100</v>
      </c>
      <c r="J32" s="198"/>
      <c r="K32" s="199"/>
      <c r="L32" s="199"/>
    </row>
    <row r="33" spans="1:12" ht="37.5" customHeight="1" x14ac:dyDescent="0.25">
      <c r="A33" s="196" t="s">
        <v>346</v>
      </c>
      <c r="B33" s="204" t="s">
        <v>347</v>
      </c>
      <c r="C33" s="202" t="s">
        <v>32</v>
      </c>
      <c r="D33" s="202" t="s">
        <v>32</v>
      </c>
      <c r="E33" s="202" t="s">
        <v>32</v>
      </c>
      <c r="F33" s="202" t="s">
        <v>32</v>
      </c>
      <c r="G33" s="202" t="s">
        <v>32</v>
      </c>
      <c r="H33" s="202" t="s">
        <v>32</v>
      </c>
      <c r="I33" s="203"/>
      <c r="J33" s="198"/>
      <c r="K33" s="199"/>
      <c r="L33" s="199"/>
    </row>
    <row r="34" spans="1:12" ht="47.25" customHeight="1" x14ac:dyDescent="0.25">
      <c r="A34" s="196" t="s">
        <v>348</v>
      </c>
      <c r="B34" s="204" t="s">
        <v>349</v>
      </c>
      <c r="C34" s="202" t="s">
        <v>32</v>
      </c>
      <c r="D34" s="202" t="s">
        <v>32</v>
      </c>
      <c r="E34" s="202" t="s">
        <v>32</v>
      </c>
      <c r="F34" s="202" t="s">
        <v>32</v>
      </c>
      <c r="G34" s="202" t="s">
        <v>32</v>
      </c>
      <c r="H34" s="202" t="s">
        <v>32</v>
      </c>
      <c r="I34" s="203"/>
      <c r="J34" s="206"/>
      <c r="K34" s="206"/>
      <c r="L34" s="199"/>
    </row>
    <row r="35" spans="1:12" ht="49.5" customHeight="1" x14ac:dyDescent="0.25">
      <c r="A35" s="196" t="s">
        <v>350</v>
      </c>
      <c r="B35" s="204" t="s">
        <v>351</v>
      </c>
      <c r="C35" s="202" t="s">
        <v>352</v>
      </c>
      <c r="D35" s="202" t="s">
        <v>352</v>
      </c>
      <c r="E35" s="202" t="s">
        <v>352</v>
      </c>
      <c r="F35" s="202" t="s">
        <v>352</v>
      </c>
      <c r="G35" s="202" t="s">
        <v>352</v>
      </c>
      <c r="H35" s="202" t="s">
        <v>352</v>
      </c>
      <c r="I35" s="203">
        <v>100</v>
      </c>
      <c r="J35" s="206"/>
      <c r="K35" s="206"/>
      <c r="L35" s="199"/>
    </row>
    <row r="36" spans="1:12" ht="37.5" customHeight="1" x14ac:dyDescent="0.25">
      <c r="A36" s="196" t="s">
        <v>353</v>
      </c>
      <c r="B36" s="204" t="s">
        <v>354</v>
      </c>
      <c r="C36" s="205" t="s">
        <v>32</v>
      </c>
      <c r="D36" s="205" t="s">
        <v>32</v>
      </c>
      <c r="E36" s="205" t="s">
        <v>32</v>
      </c>
      <c r="F36" s="205" t="s">
        <v>32</v>
      </c>
      <c r="G36" s="205" t="s">
        <v>32</v>
      </c>
      <c r="H36" s="205" t="s">
        <v>32</v>
      </c>
      <c r="I36" s="203"/>
      <c r="J36" s="207"/>
      <c r="K36" s="199"/>
      <c r="L36" s="199"/>
    </row>
    <row r="37" spans="1:12" x14ac:dyDescent="0.25">
      <c r="A37" s="196" t="s">
        <v>355</v>
      </c>
      <c r="B37" s="204" t="s">
        <v>356</v>
      </c>
      <c r="C37" s="205">
        <v>43598</v>
      </c>
      <c r="D37" s="205">
        <v>43598</v>
      </c>
      <c r="E37" s="205">
        <v>43598</v>
      </c>
      <c r="F37" s="205">
        <v>43598</v>
      </c>
      <c r="G37" s="205">
        <v>43598</v>
      </c>
      <c r="H37" s="205">
        <v>43598</v>
      </c>
      <c r="I37" s="203">
        <v>100</v>
      </c>
      <c r="J37" s="207"/>
      <c r="K37" s="199"/>
      <c r="L37" s="199"/>
    </row>
    <row r="38" spans="1:12" x14ac:dyDescent="0.25">
      <c r="A38" s="196" t="s">
        <v>357</v>
      </c>
      <c r="B38" s="197" t="s">
        <v>358</v>
      </c>
      <c r="C38" s="205"/>
      <c r="D38" s="205"/>
      <c r="E38" s="205"/>
      <c r="F38" s="205"/>
      <c r="G38" s="205"/>
      <c r="H38" s="205"/>
      <c r="I38" s="203"/>
      <c r="J38" s="199"/>
      <c r="K38" s="199"/>
      <c r="L38" s="199"/>
    </row>
    <row r="39" spans="1:12" ht="78.75" x14ac:dyDescent="0.25">
      <c r="A39" s="196">
        <v>2</v>
      </c>
      <c r="B39" s="204" t="s">
        <v>359</v>
      </c>
      <c r="C39" s="205">
        <v>44796</v>
      </c>
      <c r="D39" s="205">
        <v>44796</v>
      </c>
      <c r="E39" s="205">
        <v>44796</v>
      </c>
      <c r="F39" s="205">
        <v>44796</v>
      </c>
      <c r="G39" s="205">
        <v>44796</v>
      </c>
      <c r="H39" s="205">
        <v>44796</v>
      </c>
      <c r="I39" s="203">
        <v>100</v>
      </c>
      <c r="J39" s="199"/>
      <c r="K39" s="199"/>
      <c r="L39" s="199"/>
    </row>
    <row r="40" spans="1:12" ht="33.75" customHeight="1" x14ac:dyDescent="0.25">
      <c r="A40" s="196" t="s">
        <v>360</v>
      </c>
      <c r="B40" s="204" t="s">
        <v>361</v>
      </c>
      <c r="C40" s="205" t="s">
        <v>32</v>
      </c>
      <c r="D40" s="205" t="s">
        <v>32</v>
      </c>
      <c r="E40" s="205" t="s">
        <v>32</v>
      </c>
      <c r="F40" s="205" t="s">
        <v>32</v>
      </c>
      <c r="G40" s="205" t="s">
        <v>32</v>
      </c>
      <c r="H40" s="205" t="s">
        <v>32</v>
      </c>
      <c r="I40" s="199"/>
      <c r="J40" s="199"/>
      <c r="K40" s="199"/>
      <c r="L40" s="199"/>
    </row>
    <row r="41" spans="1:12" ht="63" customHeight="1" x14ac:dyDescent="0.25">
      <c r="A41" s="196" t="s">
        <v>362</v>
      </c>
      <c r="B41" s="197" t="s">
        <v>363</v>
      </c>
      <c r="C41" s="205"/>
      <c r="D41" s="205"/>
      <c r="E41" s="205"/>
      <c r="F41" s="205"/>
      <c r="G41" s="205"/>
      <c r="H41" s="205"/>
      <c r="I41" s="199"/>
      <c r="J41" s="199"/>
      <c r="K41" s="199"/>
      <c r="L41" s="199"/>
    </row>
    <row r="42" spans="1:12" ht="58.5" customHeight="1" x14ac:dyDescent="0.25">
      <c r="A42" s="196">
        <v>3</v>
      </c>
      <c r="B42" s="204" t="s">
        <v>364</v>
      </c>
      <c r="C42" s="205" t="s">
        <v>32</v>
      </c>
      <c r="D42" s="205" t="s">
        <v>32</v>
      </c>
      <c r="E42" s="205" t="s">
        <v>32</v>
      </c>
      <c r="F42" s="205" t="s">
        <v>32</v>
      </c>
      <c r="G42" s="205" t="s">
        <v>32</v>
      </c>
      <c r="H42" s="205" t="s">
        <v>32</v>
      </c>
      <c r="I42" s="199"/>
      <c r="J42" s="199"/>
      <c r="K42" s="199"/>
      <c r="L42" s="199"/>
    </row>
    <row r="43" spans="1:12" ht="34.5" customHeight="1" x14ac:dyDescent="0.25">
      <c r="A43" s="196" t="s">
        <v>365</v>
      </c>
      <c r="B43" s="204" t="s">
        <v>366</v>
      </c>
      <c r="C43" s="205" t="s">
        <v>32</v>
      </c>
      <c r="D43" s="205" t="s">
        <v>32</v>
      </c>
      <c r="E43" s="205" t="s">
        <v>32</v>
      </c>
      <c r="F43" s="205" t="s">
        <v>32</v>
      </c>
      <c r="G43" s="205" t="s">
        <v>32</v>
      </c>
      <c r="H43" s="205" t="s">
        <v>32</v>
      </c>
      <c r="I43" s="199"/>
      <c r="J43" s="199"/>
      <c r="K43" s="199"/>
      <c r="L43" s="199"/>
    </row>
    <row r="44" spans="1:12" ht="24.75" customHeight="1" x14ac:dyDescent="0.25">
      <c r="A44" s="196" t="s">
        <v>367</v>
      </c>
      <c r="B44" s="204" t="s">
        <v>368</v>
      </c>
      <c r="C44" s="205">
        <v>44796</v>
      </c>
      <c r="D44" s="205">
        <v>45627</v>
      </c>
      <c r="E44" s="205">
        <v>44796</v>
      </c>
      <c r="F44" s="205">
        <v>45698</v>
      </c>
      <c r="G44" s="205">
        <v>44796</v>
      </c>
      <c r="H44" s="205">
        <v>45627</v>
      </c>
      <c r="I44" s="203">
        <v>100</v>
      </c>
      <c r="J44" s="203"/>
      <c r="K44" s="199"/>
      <c r="L44" s="199"/>
    </row>
    <row r="45" spans="1:12" ht="90.75" customHeight="1" x14ac:dyDescent="0.25">
      <c r="A45" s="196" t="s">
        <v>369</v>
      </c>
      <c r="B45" s="204" t="s">
        <v>370</v>
      </c>
      <c r="C45" s="205" t="s">
        <v>32</v>
      </c>
      <c r="D45" s="205" t="s">
        <v>32</v>
      </c>
      <c r="E45" s="205" t="s">
        <v>32</v>
      </c>
      <c r="F45" s="205" t="s">
        <v>32</v>
      </c>
      <c r="G45" s="205" t="s">
        <v>32</v>
      </c>
      <c r="H45" s="205" t="s">
        <v>32</v>
      </c>
      <c r="I45" s="199"/>
      <c r="J45" s="199"/>
      <c r="K45" s="199"/>
      <c r="L45" s="199"/>
    </row>
    <row r="46" spans="1:12" ht="167.25" customHeight="1" x14ac:dyDescent="0.25">
      <c r="A46" s="196" t="s">
        <v>371</v>
      </c>
      <c r="B46" s="204" t="s">
        <v>372</v>
      </c>
      <c r="C46" s="205" t="s">
        <v>32</v>
      </c>
      <c r="D46" s="205" t="s">
        <v>32</v>
      </c>
      <c r="E46" s="205" t="s">
        <v>32</v>
      </c>
      <c r="F46" s="205" t="s">
        <v>32</v>
      </c>
      <c r="G46" s="205" t="s">
        <v>32</v>
      </c>
      <c r="H46" s="205" t="s">
        <v>32</v>
      </c>
      <c r="I46" s="199"/>
      <c r="J46" s="199"/>
      <c r="K46" s="199"/>
      <c r="L46" s="199"/>
    </row>
    <row r="47" spans="1:12" ht="30.75" customHeight="1" x14ac:dyDescent="0.25">
      <c r="A47" s="196" t="s">
        <v>373</v>
      </c>
      <c r="B47" s="204" t="s">
        <v>374</v>
      </c>
      <c r="C47" s="205">
        <v>45627</v>
      </c>
      <c r="D47" s="205">
        <v>45657</v>
      </c>
      <c r="E47" s="205">
        <v>45834</v>
      </c>
      <c r="F47" s="205">
        <v>45838</v>
      </c>
      <c r="G47" s="205">
        <v>45627</v>
      </c>
      <c r="H47" s="205">
        <v>45657</v>
      </c>
      <c r="I47" s="203">
        <v>100</v>
      </c>
      <c r="J47" s="203"/>
      <c r="K47" s="199"/>
      <c r="L47" s="199"/>
    </row>
    <row r="48" spans="1:12" ht="37.5" customHeight="1" x14ac:dyDescent="0.25">
      <c r="A48" s="196" t="s">
        <v>375</v>
      </c>
      <c r="B48" s="197" t="s">
        <v>376</v>
      </c>
      <c r="C48" s="205"/>
      <c r="D48" s="205"/>
      <c r="E48" s="205"/>
      <c r="F48" s="205"/>
      <c r="G48" s="205"/>
      <c r="H48" s="205"/>
      <c r="I48" s="199"/>
      <c r="J48" s="199"/>
      <c r="K48" s="199"/>
      <c r="L48" s="199"/>
    </row>
    <row r="49" spans="1:12" ht="35.25" customHeight="1" x14ac:dyDescent="0.25">
      <c r="A49" s="196">
        <v>4</v>
      </c>
      <c r="B49" s="204" t="s">
        <v>377</v>
      </c>
      <c r="C49" s="205">
        <v>45627</v>
      </c>
      <c r="D49" s="205">
        <v>45657</v>
      </c>
      <c r="E49" s="205">
        <v>45834</v>
      </c>
      <c r="F49" s="205">
        <v>45838</v>
      </c>
      <c r="G49" s="205">
        <v>45627</v>
      </c>
      <c r="H49" s="205">
        <v>45657</v>
      </c>
      <c r="I49" s="203">
        <v>100</v>
      </c>
      <c r="J49" s="203"/>
      <c r="K49" s="199"/>
      <c r="L49" s="199"/>
    </row>
    <row r="50" spans="1:12" ht="86.25" customHeight="1" x14ac:dyDescent="0.25">
      <c r="A50" s="196" t="s">
        <v>378</v>
      </c>
      <c r="B50" s="204" t="s">
        <v>379</v>
      </c>
      <c r="C50" s="205">
        <v>45627</v>
      </c>
      <c r="D50" s="205">
        <v>45657</v>
      </c>
      <c r="E50" s="205">
        <v>45838</v>
      </c>
      <c r="F50" s="205">
        <v>45838</v>
      </c>
      <c r="G50" s="205">
        <v>45627</v>
      </c>
      <c r="H50" s="205">
        <v>45657</v>
      </c>
      <c r="I50" s="203">
        <v>100</v>
      </c>
      <c r="J50" s="203"/>
      <c r="K50" s="199"/>
      <c r="L50" s="199"/>
    </row>
    <row r="51" spans="1:12" ht="77.25" customHeight="1" x14ac:dyDescent="0.25">
      <c r="A51" s="196" t="s">
        <v>380</v>
      </c>
      <c r="B51" s="204" t="s">
        <v>381</v>
      </c>
      <c r="C51" s="205" t="s">
        <v>32</v>
      </c>
      <c r="D51" s="205" t="s">
        <v>32</v>
      </c>
      <c r="E51" s="205" t="s">
        <v>32</v>
      </c>
      <c r="F51" s="205" t="s">
        <v>32</v>
      </c>
      <c r="G51" s="205" t="s">
        <v>32</v>
      </c>
      <c r="H51" s="205" t="s">
        <v>32</v>
      </c>
      <c r="I51" s="199"/>
      <c r="J51" s="199"/>
      <c r="K51" s="199"/>
      <c r="L51" s="199"/>
    </row>
    <row r="52" spans="1:12" ht="71.25" customHeight="1" x14ac:dyDescent="0.25">
      <c r="A52" s="196" t="s">
        <v>382</v>
      </c>
      <c r="B52" s="204" t="s">
        <v>383</v>
      </c>
      <c r="C52" s="205" t="s">
        <v>32</v>
      </c>
      <c r="D52" s="205" t="s">
        <v>32</v>
      </c>
      <c r="E52" s="205" t="s">
        <v>32</v>
      </c>
      <c r="F52" s="205" t="s">
        <v>32</v>
      </c>
      <c r="G52" s="205" t="s">
        <v>32</v>
      </c>
      <c r="H52" s="205" t="s">
        <v>32</v>
      </c>
      <c r="I52" s="199"/>
      <c r="J52" s="199"/>
      <c r="K52" s="199"/>
      <c r="L52" s="199"/>
    </row>
    <row r="53" spans="1:12" ht="48" customHeight="1" x14ac:dyDescent="0.25">
      <c r="A53" s="196" t="s">
        <v>384</v>
      </c>
      <c r="B53" s="208" t="s">
        <v>385</v>
      </c>
      <c r="C53" s="205">
        <v>45627</v>
      </c>
      <c r="D53" s="205">
        <v>45657</v>
      </c>
      <c r="E53" s="205">
        <v>45838</v>
      </c>
      <c r="F53" s="205">
        <v>45838</v>
      </c>
      <c r="G53" s="205">
        <v>45627</v>
      </c>
      <c r="H53" s="205">
        <v>45657</v>
      </c>
      <c r="I53" s="203">
        <v>100</v>
      </c>
      <c r="J53" s="203"/>
      <c r="K53" s="199"/>
      <c r="L53" s="199"/>
    </row>
    <row r="54" spans="1:12" ht="46.5" customHeight="1" x14ac:dyDescent="0.25">
      <c r="A54" s="196" t="s">
        <v>386</v>
      </c>
      <c r="B54" s="204" t="s">
        <v>387</v>
      </c>
      <c r="C54" s="205" t="s">
        <v>32</v>
      </c>
      <c r="D54" s="205" t="s">
        <v>32</v>
      </c>
      <c r="E54" s="205" t="s">
        <v>32</v>
      </c>
      <c r="F54" s="205" t="s">
        <v>32</v>
      </c>
      <c r="G54" s="205" t="s">
        <v>32</v>
      </c>
      <c r="H54" s="205" t="s">
        <v>32</v>
      </c>
      <c r="I54" s="199"/>
      <c r="J54" s="199"/>
      <c r="K54" s="199"/>
      <c r="L54" s="199"/>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2025-11-11T06:46:29Z</dcterms:modified>
</cp:coreProperties>
</file>